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howInkAnnotation="0"/>
  <mc:AlternateContent xmlns:mc="http://schemas.openxmlformats.org/markup-compatibility/2006">
    <mc:Choice Requires="x15">
      <x15ac:absPath xmlns:x15ac="http://schemas.microsoft.com/office/spreadsheetml/2010/11/ac" url="C:\Laboratorio de metrologia legal\Ajustes formatos audi 2018\"/>
    </mc:Choice>
  </mc:AlternateContent>
  <workbookProtection workbookAlgorithmName="SHA-512" workbookHashValue="hChneR1i9f1z/1mnK20YOP7ePHaioMP0jrFO2f28aqFqlIueiwkTEkKnv2JU+gwKwRo+68MRXs7w3GY4LUxlkA==" workbookSaltValue="rwo4HaXdEhTh2xQh8fP58g==" workbookSpinCount="100000" lockStructure="1"/>
  <bookViews>
    <workbookView xWindow="0" yWindow="0" windowWidth="20490" windowHeight="8955" firstSheet="2" activeTab="2"/>
  </bookViews>
  <sheets>
    <sheet name="DATOS" sheetId="15" state="hidden" r:id="rId1"/>
    <sheet name="RT03-F12" sheetId="8" state="hidden" r:id="rId2"/>
    <sheet name="RT03-F15" sheetId="14" r:id="rId3"/>
  </sheets>
  <externalReferences>
    <externalReference r:id="rId4"/>
    <externalReference r:id="rId5"/>
    <externalReference r:id="rId6"/>
    <externalReference r:id="rId7"/>
  </externalReferences>
  <definedNames>
    <definedName name="a1_">'[1]APROXIMACION LINEL'!$C$21</definedName>
    <definedName name="_xlnm.Print_Area" localSheetId="0">DATOS!$A$1:$T$165</definedName>
    <definedName name="_xlnm.Print_Area" localSheetId="1">'RT03-F12'!$A$1:$L$143</definedName>
    <definedName name="_xlnm.Print_Area" localSheetId="2">'RT03-F15'!$A$1:$F$198</definedName>
    <definedName name="DELTAMAXI">'[2]PRUEBAS DE CALIBRACION'!$G$18</definedName>
    <definedName name="DIVISIÓNDEESCALA">[2]DATOS!$E$13</definedName>
    <definedName name="factordecobertura">'[3]COMPONENTES DE INCERTI'!$G$32:$K$32</definedName>
    <definedName name="LEXCENTRICIDAD">'[2]PRUEBAS DE CALIBRACION'!$H$11</definedName>
    <definedName name="_xlnm.Print_Titles" localSheetId="1">'RT03-F12'!$1:$3</definedName>
    <definedName name="_xlnm.Print_Titles" localSheetId="2">'RT03-F15'!$1:$4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2" i="8" l="1"/>
  <c r="L32" i="8"/>
  <c r="C52" i="14" l="1"/>
  <c r="C50" i="14"/>
  <c r="D195" i="14" l="1"/>
  <c r="D194" i="14"/>
  <c r="A195" i="14"/>
  <c r="A194" i="14"/>
  <c r="K65" i="8"/>
  <c r="J29" i="8"/>
  <c r="H29" i="8"/>
  <c r="E29" i="8"/>
  <c r="J28" i="8"/>
  <c r="G28" i="8"/>
  <c r="E28" i="8"/>
  <c r="C28" i="8"/>
  <c r="I23" i="8"/>
  <c r="R145" i="15"/>
  <c r="Q145" i="15"/>
  <c r="P145" i="15"/>
  <c r="R135" i="15"/>
  <c r="Q135" i="15"/>
  <c r="P135" i="15"/>
  <c r="R125" i="15"/>
  <c r="Q125" i="15"/>
  <c r="P125" i="15"/>
  <c r="R114" i="15"/>
  <c r="Q114" i="15"/>
  <c r="P114" i="15"/>
  <c r="R103" i="15"/>
  <c r="Q103" i="15"/>
  <c r="P103" i="15"/>
  <c r="B6" i="8" l="1"/>
  <c r="C9" i="14" s="1"/>
  <c r="A50" i="14" l="1"/>
  <c r="I6" i="8" l="1"/>
  <c r="F5" i="14" s="1"/>
  <c r="F48" i="14" s="1"/>
  <c r="B160" i="15"/>
  <c r="H6" i="8"/>
  <c r="C8" i="14" s="1"/>
  <c r="G6" i="8"/>
  <c r="C7" i="14" s="1"/>
  <c r="F6" i="8"/>
  <c r="F17" i="14" s="1"/>
  <c r="E6" i="8"/>
  <c r="D6" i="8"/>
  <c r="C26" i="14" s="1"/>
  <c r="C6" i="8"/>
  <c r="C17" i="14" s="1"/>
  <c r="P72" i="15"/>
  <c r="P71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N28" i="15"/>
  <c r="I15" i="8"/>
  <c r="I14" i="8"/>
  <c r="C64" i="14" s="1"/>
  <c r="I13" i="8"/>
  <c r="C63" i="14" s="1"/>
  <c r="I12" i="8"/>
  <c r="C62" i="14" s="1"/>
  <c r="I11" i="8"/>
  <c r="I10" i="8"/>
  <c r="E34" i="8"/>
  <c r="J25" i="8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38" i="15"/>
  <c r="N29" i="15"/>
  <c r="N30" i="15"/>
  <c r="H22" i="8" s="1"/>
  <c r="N31" i="15"/>
  <c r="H23" i="8" s="1"/>
  <c r="B57" i="8" s="1"/>
  <c r="D57" i="8" s="1"/>
  <c r="N32" i="15"/>
  <c r="H24" i="8" s="1"/>
  <c r="B58" i="8" s="1"/>
  <c r="A112" i="14" s="1"/>
  <c r="G23" i="8"/>
  <c r="J128" i="8" s="1"/>
  <c r="C14" i="14"/>
  <c r="C13" i="14"/>
  <c r="C12" i="14"/>
  <c r="E26" i="8"/>
  <c r="D26" i="8"/>
  <c r="C26" i="8"/>
  <c r="B26" i="8"/>
  <c r="I24" i="8"/>
  <c r="I80" i="8" s="1"/>
  <c r="H78" i="8"/>
  <c r="I22" i="8"/>
  <c r="G79" i="8" s="1"/>
  <c r="I21" i="8"/>
  <c r="F79" i="8" s="1"/>
  <c r="H21" i="8"/>
  <c r="B55" i="8" s="1"/>
  <c r="D55" i="8" s="1"/>
  <c r="J24" i="8"/>
  <c r="J23" i="8"/>
  <c r="J22" i="8"/>
  <c r="J21" i="8"/>
  <c r="G24" i="8"/>
  <c r="J129" i="8" s="1"/>
  <c r="G22" i="8"/>
  <c r="J127" i="8" s="1"/>
  <c r="G21" i="8"/>
  <c r="F70" i="8" s="1"/>
  <c r="D15" i="8"/>
  <c r="C24" i="14" s="1"/>
  <c r="D14" i="8"/>
  <c r="C23" i="14" s="1"/>
  <c r="D13" i="8"/>
  <c r="C22" i="14" s="1"/>
  <c r="D12" i="8"/>
  <c r="C21" i="14" s="1"/>
  <c r="D11" i="8"/>
  <c r="D10" i="8"/>
  <c r="D9" i="8"/>
  <c r="Q74" i="15"/>
  <c r="Q75" i="15" s="1"/>
  <c r="Q76" i="15" s="1"/>
  <c r="Q77" i="15" s="1"/>
  <c r="Q78" i="15" s="1"/>
  <c r="Q79" i="15" s="1"/>
  <c r="Q80" i="15" s="1"/>
  <c r="Q81" i="15" s="1"/>
  <c r="Q82" i="15" s="1"/>
  <c r="Q83" i="15" s="1"/>
  <c r="Q84" i="15" s="1"/>
  <c r="Q85" i="15" s="1"/>
  <c r="Q86" i="15" s="1"/>
  <c r="Q87" i="15" s="1"/>
  <c r="Q88" i="15" s="1"/>
  <c r="Q56" i="15"/>
  <c r="Q57" i="15"/>
  <c r="Q58" i="15" s="1"/>
  <c r="Q59" i="15" s="1"/>
  <c r="Q60" i="15" s="1"/>
  <c r="Q61" i="15" s="1"/>
  <c r="Q62" i="15" s="1"/>
  <c r="Q63" i="15" s="1"/>
  <c r="Q64" i="15" s="1"/>
  <c r="Q65" i="15" s="1"/>
  <c r="Q66" i="15" s="1"/>
  <c r="Q67" i="15" s="1"/>
  <c r="Q68" i="15" s="1"/>
  <c r="Q69" i="15" s="1"/>
  <c r="Q70" i="15" s="1"/>
  <c r="I56" i="15"/>
  <c r="I57" i="15" s="1"/>
  <c r="I58" i="15" s="1"/>
  <c r="I59" i="15" s="1"/>
  <c r="I60" i="15" s="1"/>
  <c r="I61" i="15" s="1"/>
  <c r="I62" i="15" s="1"/>
  <c r="I63" i="15" s="1"/>
  <c r="I64" i="15" s="1"/>
  <c r="I65" i="15" s="1"/>
  <c r="I66" i="15" s="1"/>
  <c r="I67" i="15" s="1"/>
  <c r="I68" i="15" s="1"/>
  <c r="I69" i="15" s="1"/>
  <c r="I70" i="15" s="1"/>
  <c r="P55" i="15"/>
  <c r="Q39" i="15"/>
  <c r="Q40" i="15" s="1"/>
  <c r="Q41" i="15"/>
  <c r="Q42" i="15" s="1"/>
  <c r="Q43" i="15" s="1"/>
  <c r="Q44" i="15" s="1"/>
  <c r="Q45" i="15" s="1"/>
  <c r="Q46" i="15" s="1"/>
  <c r="Q47" i="15" s="1"/>
  <c r="Q48" i="15" s="1"/>
  <c r="Q49" i="15" s="1"/>
  <c r="Q50" i="15" s="1"/>
  <c r="Q51" i="15" s="1"/>
  <c r="Q52" i="15" s="1"/>
  <c r="Q53" i="15" s="1"/>
  <c r="Q54" i="15" s="1"/>
  <c r="P38" i="15"/>
  <c r="B75" i="14"/>
  <c r="C183" i="14"/>
  <c r="C184" i="14"/>
  <c r="C185" i="14"/>
  <c r="C186" i="14"/>
  <c r="C182" i="14"/>
  <c r="D152" i="14"/>
  <c r="B148" i="14"/>
  <c r="A108" i="14"/>
  <c r="A87" i="14"/>
  <c r="B72" i="14"/>
  <c r="A72" i="14"/>
  <c r="C71" i="14"/>
  <c r="A71" i="14"/>
  <c r="B74" i="14"/>
  <c r="C152" i="14"/>
  <c r="L74" i="8"/>
  <c r="G26" i="8"/>
  <c r="G118" i="8" s="1"/>
  <c r="K118" i="8" s="1"/>
  <c r="D98" i="14"/>
  <c r="D97" i="14"/>
  <c r="D96" i="14"/>
  <c r="D95" i="14"/>
  <c r="D94" i="14"/>
  <c r="D93" i="14"/>
  <c r="D92" i="14"/>
  <c r="D91" i="14"/>
  <c r="D90" i="14"/>
  <c r="D89" i="14"/>
  <c r="C98" i="14"/>
  <c r="C97" i="14"/>
  <c r="C96" i="14"/>
  <c r="C95" i="14"/>
  <c r="C94" i="14"/>
  <c r="C93" i="14"/>
  <c r="C92" i="14"/>
  <c r="C91" i="14"/>
  <c r="C90" i="14"/>
  <c r="C89" i="14"/>
  <c r="B98" i="14"/>
  <c r="B97" i="14"/>
  <c r="B96" i="14"/>
  <c r="B95" i="14"/>
  <c r="B94" i="14"/>
  <c r="B93" i="14"/>
  <c r="B92" i="14"/>
  <c r="B91" i="14"/>
  <c r="B90" i="14"/>
  <c r="B89" i="14"/>
  <c r="A98" i="14"/>
  <c r="A97" i="14"/>
  <c r="A96" i="14"/>
  <c r="A95" i="14"/>
  <c r="A94" i="14"/>
  <c r="A93" i="14"/>
  <c r="A92" i="14"/>
  <c r="A91" i="14"/>
  <c r="A90" i="14"/>
  <c r="A89" i="14"/>
  <c r="B77" i="14"/>
  <c r="B76" i="14"/>
  <c r="B73" i="14"/>
  <c r="A77" i="14"/>
  <c r="A76" i="14"/>
  <c r="A75" i="14"/>
  <c r="A74" i="14"/>
  <c r="A73" i="14"/>
  <c r="A78" i="14"/>
  <c r="J88" i="8"/>
  <c r="I88" i="8"/>
  <c r="H88" i="8"/>
  <c r="G88" i="8"/>
  <c r="F88" i="8"/>
  <c r="I64" i="8"/>
  <c r="G64" i="8"/>
  <c r="E64" i="8"/>
  <c r="E65" i="8" s="1"/>
  <c r="A57" i="14" s="1"/>
  <c r="I59" i="8"/>
  <c r="J59" i="8" s="1"/>
  <c r="I58" i="8"/>
  <c r="J58" i="8" s="1"/>
  <c r="I57" i="8"/>
  <c r="J57" i="8" s="1"/>
  <c r="I56" i="8"/>
  <c r="J56" i="8" s="1"/>
  <c r="I55" i="8"/>
  <c r="D50" i="8"/>
  <c r="E50" i="8" s="1"/>
  <c r="C50" i="8"/>
  <c r="D49" i="8"/>
  <c r="E49" i="8" s="1"/>
  <c r="C49" i="8"/>
  <c r="D48" i="8"/>
  <c r="E48" i="8" s="1"/>
  <c r="C48" i="8"/>
  <c r="A46" i="8"/>
  <c r="B50" i="8" s="1"/>
  <c r="A45" i="8"/>
  <c r="B49" i="8" s="1"/>
  <c r="A44" i="8"/>
  <c r="B87" i="14" s="1"/>
  <c r="G37" i="8"/>
  <c r="G38" i="8" s="1"/>
  <c r="F37" i="8"/>
  <c r="F38" i="8" s="1"/>
  <c r="E37" i="8"/>
  <c r="E38" i="8" s="1"/>
  <c r="D37" i="8"/>
  <c r="D38" i="8" s="1"/>
  <c r="C37" i="8"/>
  <c r="C38" i="8" s="1"/>
  <c r="C76" i="14"/>
  <c r="G34" i="8"/>
  <c r="B71" i="14"/>
  <c r="D87" i="14" l="1"/>
  <c r="C75" i="14"/>
  <c r="E55" i="8"/>
  <c r="D182" i="14"/>
  <c r="E57" i="8"/>
  <c r="D184" i="14"/>
  <c r="B182" i="14"/>
  <c r="H70" i="8"/>
  <c r="B185" i="14"/>
  <c r="K58" i="8"/>
  <c r="D58" i="8"/>
  <c r="I65" i="8"/>
  <c r="C57" i="14" s="1"/>
  <c r="G65" i="8"/>
  <c r="B57" i="14" s="1"/>
  <c r="J126" i="8"/>
  <c r="I78" i="8"/>
  <c r="I79" i="8"/>
  <c r="F48" i="8"/>
  <c r="I74" i="8" s="1"/>
  <c r="C77" i="14"/>
  <c r="C73" i="14"/>
  <c r="C74" i="14"/>
  <c r="I70" i="8"/>
  <c r="H80" i="8"/>
  <c r="H25" i="8"/>
  <c r="B59" i="8" s="1"/>
  <c r="D59" i="8" s="1"/>
  <c r="H79" i="8"/>
  <c r="G25" i="8"/>
  <c r="J130" i="8" s="1"/>
  <c r="A109" i="14"/>
  <c r="F78" i="8"/>
  <c r="F80" i="8"/>
  <c r="C87" i="14"/>
  <c r="B48" i="8"/>
  <c r="G75" i="8"/>
  <c r="C39" i="8"/>
  <c r="G73" i="8" s="1"/>
  <c r="I25" i="8"/>
  <c r="J80" i="8" s="1"/>
  <c r="G78" i="8"/>
  <c r="G80" i="8"/>
  <c r="H74" i="8"/>
  <c r="J55" i="8"/>
  <c r="K55" i="8"/>
  <c r="B184" i="14"/>
  <c r="A111" i="14"/>
  <c r="K57" i="8"/>
  <c r="B186" i="14"/>
  <c r="G70" i="8"/>
  <c r="B56" i="8"/>
  <c r="I75" i="8"/>
  <c r="J75" i="8"/>
  <c r="H75" i="8"/>
  <c r="F75" i="8"/>
  <c r="F122" i="14"/>
  <c r="F161" i="14"/>
  <c r="F85" i="14"/>
  <c r="G74" i="8" l="1"/>
  <c r="E59" i="8"/>
  <c r="D186" i="14"/>
  <c r="E58" i="8"/>
  <c r="D185" i="14"/>
  <c r="L58" i="8"/>
  <c r="B112" i="14"/>
  <c r="L57" i="8"/>
  <c r="B111" i="14"/>
  <c r="L55" i="8"/>
  <c r="B109" i="14"/>
  <c r="I81" i="8"/>
  <c r="I95" i="8" s="1"/>
  <c r="A113" i="14"/>
  <c r="E118" i="8"/>
  <c r="E119" i="8" s="1"/>
  <c r="J74" i="8"/>
  <c r="F74" i="8"/>
  <c r="K59" i="8"/>
  <c r="B113" i="14" s="1"/>
  <c r="G81" i="8"/>
  <c r="G95" i="8" s="1"/>
  <c r="J78" i="8"/>
  <c r="J70" i="8"/>
  <c r="H81" i="8"/>
  <c r="H95" i="8" s="1"/>
  <c r="F81" i="8"/>
  <c r="F95" i="8" s="1"/>
  <c r="J73" i="8"/>
  <c r="J76" i="8" s="1"/>
  <c r="F73" i="8"/>
  <c r="F76" i="8" s="1"/>
  <c r="I73" i="8"/>
  <c r="J79" i="8"/>
  <c r="G76" i="8"/>
  <c r="G90" i="8" s="1"/>
  <c r="I76" i="8"/>
  <c r="H73" i="8"/>
  <c r="H76" i="8" s="1"/>
  <c r="B78" i="14"/>
  <c r="B183" i="14"/>
  <c r="A110" i="14"/>
  <c r="D56" i="8"/>
  <c r="K56" i="8"/>
  <c r="E56" i="8" l="1"/>
  <c r="D183" i="14"/>
  <c r="L56" i="8"/>
  <c r="B110" i="14"/>
  <c r="L59" i="8"/>
  <c r="J81" i="8"/>
  <c r="J95" i="8" s="1"/>
  <c r="F83" i="8"/>
  <c r="G83" i="8"/>
  <c r="G97" i="8" s="1"/>
  <c r="G100" i="8" s="1"/>
  <c r="G104" i="8" s="1"/>
  <c r="G105" i="8" s="1"/>
  <c r="C110" i="14" s="1"/>
  <c r="F90" i="8"/>
  <c r="H83" i="8"/>
  <c r="A112" i="8" s="1"/>
  <c r="H90" i="8"/>
  <c r="J90" i="8"/>
  <c r="I90" i="8"/>
  <c r="I83" i="8"/>
  <c r="A110" i="8" l="1"/>
  <c r="C110" i="8" s="1"/>
  <c r="F97" i="8"/>
  <c r="F100" i="8" s="1"/>
  <c r="F104" i="8" s="1"/>
  <c r="F105" i="8" s="1"/>
  <c r="C109" i="14" s="1"/>
  <c r="J83" i="8"/>
  <c r="A114" i="8" s="1"/>
  <c r="C114" i="8" s="1"/>
  <c r="A111" i="8"/>
  <c r="C111" i="8" s="1"/>
  <c r="H97" i="8"/>
  <c r="H100" i="8" s="1"/>
  <c r="H104" i="8" s="1"/>
  <c r="H105" i="8" s="1"/>
  <c r="C111" i="14" s="1"/>
  <c r="A113" i="8"/>
  <c r="I97" i="8"/>
  <c r="I100" i="8" s="1"/>
  <c r="I104" i="8" s="1"/>
  <c r="I105" i="8" s="1"/>
  <c r="C112" i="14" s="1"/>
  <c r="B112" i="8"/>
  <c r="C112" i="8"/>
  <c r="B110" i="8" l="1"/>
  <c r="B114" i="8"/>
  <c r="J97" i="8"/>
  <c r="J100" i="8" s="1"/>
  <c r="J104" i="8" s="1"/>
  <c r="J105" i="8" s="1"/>
  <c r="C113" i="14" s="1"/>
  <c r="B111" i="8"/>
  <c r="C113" i="8"/>
  <c r="C115" i="8" s="1"/>
  <c r="B119" i="8" s="1"/>
  <c r="G133" i="8" s="1"/>
  <c r="B113" i="8"/>
  <c r="G119" i="8" l="1"/>
  <c r="E150" i="14" s="1"/>
  <c r="B115" i="8"/>
  <c r="B117" i="8" s="1"/>
  <c r="D133" i="8" l="1"/>
  <c r="B118" i="8"/>
  <c r="F136" i="8"/>
  <c r="C148" i="14" s="1"/>
  <c r="G111" i="8"/>
  <c r="G113" i="8"/>
  <c r="G114" i="8"/>
  <c r="G110" i="8"/>
  <c r="G112" i="8"/>
  <c r="G115" i="8" l="1"/>
  <c r="I118" i="8" s="1"/>
  <c r="I119" i="8" s="1"/>
  <c r="D113" i="8"/>
  <c r="E113" i="8" s="1"/>
  <c r="K129" i="8" s="1"/>
  <c r="D114" i="8"/>
  <c r="E114" i="8" s="1"/>
  <c r="K130" i="8" s="1"/>
  <c r="D110" i="8"/>
  <c r="E110" i="8" s="1"/>
  <c r="D111" i="8"/>
  <c r="E111" i="8" s="1"/>
  <c r="K127" i="8" s="1"/>
  <c r="D112" i="8"/>
  <c r="E112" i="8" s="1"/>
  <c r="K128" i="8" s="1"/>
  <c r="D122" i="8" l="1"/>
  <c r="K126" i="8"/>
  <c r="D123" i="8"/>
  <c r="F138" i="8" l="1"/>
  <c r="F139" i="8" s="1"/>
  <c r="B152" i="14" s="1"/>
  <c r="H123" i="8"/>
  <c r="H138" i="8"/>
  <c r="E152" i="14" l="1"/>
  <c r="H139" i="8"/>
</calcChain>
</file>

<file path=xl/sharedStrings.xml><?xml version="1.0" encoding="utf-8"?>
<sst xmlns="http://schemas.openxmlformats.org/spreadsheetml/2006/main" count="754" uniqueCount="423">
  <si>
    <t>Clase</t>
  </si>
  <si>
    <t>Serial</t>
  </si>
  <si>
    <t>Certificado N°</t>
  </si>
  <si>
    <t>Fabricante</t>
  </si>
  <si>
    <t>Humedad relativa (%rH)</t>
  </si>
  <si>
    <t>Presión (hPa)</t>
  </si>
  <si>
    <t>Temperatura (°C)</t>
  </si>
  <si>
    <t>Ciudad</t>
  </si>
  <si>
    <t>Solicitante</t>
  </si>
  <si>
    <t>Modelo</t>
  </si>
  <si>
    <t>DATOS DE LA BALANZA A CALIBRAR</t>
  </si>
  <si>
    <t xml:space="preserve"> DATOS DE LOS PATRONES PARA LAS PRUEBAS</t>
  </si>
  <si>
    <t>Cargas para Repetibilidad (g)</t>
  </si>
  <si>
    <t>Incertidumbre (mg)</t>
  </si>
  <si>
    <t>PRUEBA DE EXCENTRICIDAD</t>
  </si>
  <si>
    <t>Posición</t>
  </si>
  <si>
    <t>Diferencia (g)</t>
  </si>
  <si>
    <t>PRUEBA DE REPETIBILIDAD</t>
  </si>
  <si>
    <t>Cargas (g)</t>
  </si>
  <si>
    <t>promedios (g)</t>
  </si>
  <si>
    <t>Indicaciones</t>
  </si>
  <si>
    <t>Excentricidad</t>
  </si>
  <si>
    <t>Repetibilidad</t>
  </si>
  <si>
    <t>PRUEBA DE ERROR DE INDICACIÓN (EXACTITUD)</t>
  </si>
  <si>
    <t>Prueba de error de                  indicación (exactitud)</t>
  </si>
  <si>
    <t>Incertidumbre por pesas patrón</t>
  </si>
  <si>
    <t>incertidumbre                            por empuje</t>
  </si>
  <si>
    <t>Distribución</t>
  </si>
  <si>
    <t>Cargas de prueba (g)</t>
  </si>
  <si>
    <t>GRADOS EFECTIVOS DE LIBERTAD</t>
  </si>
  <si>
    <t>GRADOS EFECTIVOS DE LIBERTAD DEL ERROR</t>
  </si>
  <si>
    <t>FACTOR DE COBERTURA</t>
  </si>
  <si>
    <t>incertidumbre por                              deriva</t>
  </si>
  <si>
    <t>Magnitud</t>
  </si>
  <si>
    <t xml:space="preserve">                       PRESUPUESTO DE INCERTIDUMBRE</t>
  </si>
  <si>
    <t>APROXIMACION POR LINEA RECTA QUE CRUZA POR CERO PARA EL ERROR</t>
  </si>
  <si>
    <t>Error de</t>
  </si>
  <si>
    <t>p</t>
  </si>
  <si>
    <t>pIE</t>
  </si>
  <si>
    <t>Σ</t>
  </si>
  <si>
    <t>≤</t>
  </si>
  <si>
    <t>u(Eappr) a REPORTAR</t>
  </si>
  <si>
    <t>m=</t>
  </si>
  <si>
    <t>b=</t>
  </si>
  <si>
    <t>Beta (β)</t>
  </si>
  <si>
    <t xml:space="preserve">G de libertad </t>
  </si>
  <si>
    <t>Carga max (g)</t>
  </si>
  <si>
    <t>Valor ABS de diferencia</t>
  </si>
  <si>
    <t xml:space="preserve"> (mg)</t>
  </si>
  <si>
    <t>Carga min (g)</t>
  </si>
  <si>
    <t>INCERTIDUMBRE POR INDICACION (mg)</t>
  </si>
  <si>
    <t>n</t>
  </si>
  <si>
    <t>Rectangular</t>
  </si>
  <si>
    <t>Normal</t>
  </si>
  <si>
    <t>k =</t>
  </si>
  <si>
    <t>(g)</t>
  </si>
  <si>
    <t>Carga</t>
  </si>
  <si>
    <t>GRADOS EFECTIVOS DE LIBERTAD POR MASA DE REFERENCIA</t>
  </si>
  <si>
    <t>GRADOS EFECTIVOS DE LIBERTAD POR INDICACION</t>
  </si>
  <si>
    <t xml:space="preserve">Nivel de Confianza                                                                </t>
  </si>
  <si>
    <t>incertidumbre  certificado (mg)</t>
  </si>
  <si>
    <t>CONDICIONES AMBIENTALES INICIALES</t>
  </si>
  <si>
    <t>CONDICIONES AMBIENTALES FINALES</t>
  </si>
  <si>
    <t>s (mg)</t>
  </si>
  <si>
    <t>s (g)</t>
  </si>
  <si>
    <t xml:space="preserve">K mayor </t>
  </si>
  <si>
    <t>APROXIMACIÓN POR LÍNEA RECTA QUE CRUZA EN CERO</t>
  </si>
  <si>
    <t>INCERTIDUMBRE EXPANDIDA DE LOS ERRORES APROXIMADOS  U(Eappr)</t>
  </si>
  <si>
    <t xml:space="preserve">Escalon de Verificación     en  (g)  </t>
  </si>
  <si>
    <t>Carga (g)</t>
  </si>
  <si>
    <t>u(mg)</t>
  </si>
  <si>
    <t xml:space="preserve">  + </t>
  </si>
  <si>
    <t>R (g)</t>
  </si>
  <si>
    <t>VALIDACIÓN   -   RESULTADOS</t>
  </si>
  <si>
    <t>U (E)  (mg) =</t>
  </si>
  <si>
    <t>x</t>
  </si>
  <si>
    <t>y</t>
  </si>
  <si>
    <t>Dirección</t>
  </si>
  <si>
    <t>Información del Cliente</t>
  </si>
  <si>
    <t xml:space="preserve">Dirección                       </t>
  </si>
  <si>
    <t xml:space="preserve">Ciudad                          </t>
  </si>
  <si>
    <t>Fecha de recepción</t>
  </si>
  <si>
    <t xml:space="preserve">Fabricante </t>
  </si>
  <si>
    <t>Serie</t>
  </si>
  <si>
    <t>Fecha de calibración</t>
  </si>
  <si>
    <t>En la calibración se utilizo el método de comparación directa con masa patrón</t>
  </si>
  <si>
    <t>TEMPERATURA °C</t>
  </si>
  <si>
    <t>HUMEDAD RELATIVA % rH</t>
  </si>
  <si>
    <t>PRESIÓN ATMOSFÉRICA  hPa</t>
  </si>
  <si>
    <t>No CERTIFICADO</t>
  </si>
  <si>
    <t>6.2 PRUEBA DE EXCENTRICIDAD</t>
  </si>
  <si>
    <t>g</t>
  </si>
  <si>
    <t>Figura 1</t>
  </si>
  <si>
    <t>Prueba de excentricidad.</t>
  </si>
  <si>
    <t>REPETICIÓN. No.</t>
  </si>
  <si>
    <t>INDICACIÓN g</t>
  </si>
  <si>
    <t>Prueba de repetibilidad.</t>
  </si>
  <si>
    <t>6.3  ERROR DE INDICACIÓN</t>
  </si>
  <si>
    <t>Prueba para los errores de las indicaciones</t>
  </si>
  <si>
    <t>La incertidumbre estándar del error obtenida durante el ejercicio de calibración, debe incrementarse por la adición de la incertidumbre estándar de la lectura, ver modelo.</t>
  </si>
  <si>
    <t>w *</t>
  </si>
  <si>
    <t>medición en condición de calibración</t>
  </si>
  <si>
    <t>s (R )</t>
  </si>
  <si>
    <t>Desviación estándar del usuario</t>
  </si>
  <si>
    <t>d</t>
  </si>
  <si>
    <t>Resolución de la balanza</t>
  </si>
  <si>
    <t>__________________________________</t>
  </si>
  <si>
    <t>Carga para excentricidad    (g)</t>
  </si>
  <si>
    <t>Valor nominal Cargas de    prueba (g) mN</t>
  </si>
  <si>
    <t>Grados efectivos de libertad de Excentricidad</t>
  </si>
  <si>
    <t>Grados efectivos de libertad de Repetibilidad</t>
  </si>
  <si>
    <t>Grados efectivos de libertad de Resolución</t>
  </si>
  <si>
    <t>Grados efectivos de libertad de Pesas</t>
  </si>
  <si>
    <t>Grados efectivos de libertad de Empuje</t>
  </si>
  <si>
    <t>Grados efectivos de libertad de Deriva</t>
  </si>
  <si>
    <t xml:space="preserve">INCERTIDUMBRE ESTÁNDAR DEL ERROR  </t>
  </si>
  <si>
    <t xml:space="preserve">INCERTIDUMBRE ESTÁNDAR MASA DE REFERENCIA  </t>
  </si>
  <si>
    <t>ANTES DE AJUSTE</t>
  </si>
  <si>
    <t>DESPUES DE AJUSTE</t>
  </si>
  <si>
    <t>Grados efectivos de libertad   Ʋ= n-3</t>
  </si>
  <si>
    <t>y = m x   +   b</t>
  </si>
  <si>
    <t>u2(a1) =</t>
  </si>
  <si>
    <t xml:space="preserve">  la  pendiente</t>
  </si>
  <si>
    <t>punto  de  corte</t>
  </si>
  <si>
    <t>N=</t>
  </si>
  <si>
    <t xml:space="preserve">Observaciones </t>
  </si>
  <si>
    <t>Calibrado por</t>
  </si>
  <si>
    <t>según certificado</t>
  </si>
  <si>
    <t>K =</t>
  </si>
  <si>
    <t>NC 95,45%</t>
  </si>
  <si>
    <t xml:space="preserve">Determinar la diferencia de indicación del instrumento con carga en posiciones periféricas.       </t>
  </si>
  <si>
    <t>Colocación repetitiva de la misma carga en el receptor de carga, la(s) carga(s) de prueba debería ser en lo posible de una sola pieza.</t>
  </si>
  <si>
    <t xml:space="preserve">Carga Max                      </t>
  </si>
  <si>
    <t xml:space="preserve">Carga Min                       </t>
  </si>
  <si>
    <t xml:space="preserve">División de Escala          </t>
  </si>
  <si>
    <t xml:space="preserve">Escalón de verificación    </t>
  </si>
  <si>
    <t>1.   DESCRIPCIÓN DEL EQUIPO</t>
  </si>
  <si>
    <t>BALANZA DIGITAL</t>
  </si>
  <si>
    <t>Objeto</t>
  </si>
  <si>
    <t>4.   MÉTODO DE CALIBRACIÓN UTILIZADO</t>
  </si>
  <si>
    <t>5.   PROCEDIMIENTO DE CALIBRACIÓN</t>
  </si>
  <si>
    <t>9.   TRAZABILIDAD DEL PATRON QUE SE USO EN LA CALIBRACIÓN.</t>
  </si>
  <si>
    <t>10.   RESULTADOS DE MEDICIÓN.</t>
  </si>
  <si>
    <t>mg</t>
  </si>
  <si>
    <t>7.   CONDICIONES DE MEDICIÓN:</t>
  </si>
  <si>
    <t>6.1  PRUEBA DE REPETIBILIDAD</t>
  </si>
  <si>
    <t xml:space="preserve">12.   INCERTIDUMBRE EXPANDIDA DE LOS ERRORES   </t>
  </si>
  <si>
    <t>14.   OBSERVACIONES</t>
  </si>
  <si>
    <t>15.   RESULTADOS ANTES DE AJUSTE</t>
  </si>
  <si>
    <t xml:space="preserve">         CALIBRADO POR:</t>
  </si>
  <si>
    <r>
      <rPr>
        <b/>
        <sz val="9"/>
        <color theme="1"/>
        <rFont val="Arial Narrow"/>
        <family val="2"/>
      </rPr>
      <t>NOTA</t>
    </r>
    <r>
      <rPr>
        <sz val="9"/>
        <color theme="1"/>
        <rFont val="Arial Narrow"/>
        <family val="2"/>
      </rPr>
      <t>: Las condiciones ambientales se refieren al sitio y momento de la calibración.</t>
    </r>
  </si>
  <si>
    <t xml:space="preserve">    ______________________________</t>
  </si>
  <si>
    <t>E (R)  (mg) =</t>
  </si>
  <si>
    <t xml:space="preserve">                    Firma Autorizada</t>
  </si>
  <si>
    <r>
      <t>Solicitante</t>
    </r>
    <r>
      <rPr>
        <sz val="12"/>
        <color rgb="FF000000"/>
        <rFont val="Arial Narrow"/>
        <family val="2"/>
      </rPr>
      <t xml:space="preserve">                    </t>
    </r>
  </si>
  <si>
    <r>
      <rPr>
        <b/>
        <i/>
        <sz val="10"/>
        <color theme="1"/>
        <rFont val="Arial Narrow"/>
        <family val="2"/>
      </rPr>
      <t>REPETIBILIDAD</t>
    </r>
    <r>
      <rPr>
        <b/>
        <sz val="10"/>
        <color theme="1"/>
        <rFont val="Arial Narrow"/>
        <family val="2"/>
      </rPr>
      <t>:</t>
    </r>
    <r>
      <rPr>
        <sz val="10"/>
        <color theme="1"/>
        <rFont val="Arial Narrow"/>
        <family val="2"/>
      </rPr>
      <t xml:space="preserve">                </t>
    </r>
  </si>
  <si>
    <r>
      <rPr>
        <b/>
        <i/>
        <sz val="10"/>
        <color theme="1"/>
        <rFont val="Arial Narrow"/>
        <family val="2"/>
      </rPr>
      <t>ERROR DE INDICACIÓN</t>
    </r>
    <r>
      <rPr>
        <sz val="10"/>
        <color theme="1"/>
        <rFont val="Arial Narrow"/>
        <family val="2"/>
      </rPr>
      <t xml:space="preserve">:   </t>
    </r>
  </si>
  <si>
    <r>
      <t xml:space="preserve">La incertidumbre reportada corresponde a la incertidumbre de medición expandida que resulta de la incertidumbre combinada  multiplicada por el factor de cobertura K= 2  Evaluada según  Guía </t>
    </r>
    <r>
      <rPr>
        <b/>
        <sz val="12"/>
        <color theme="1"/>
        <rFont val="Arial Narrow"/>
        <family val="2"/>
      </rPr>
      <t>SIM MWG7/cg-01/v.00.</t>
    </r>
  </si>
  <si>
    <t>………………………………..FIN DE ESTE DOCUMENTO………………………………..</t>
  </si>
  <si>
    <r>
      <rPr>
        <b/>
        <i/>
        <sz val="10"/>
        <color theme="1"/>
        <rFont val="Arial Narrow"/>
        <family val="2"/>
      </rPr>
      <t>EXCENTRICIDAD</t>
    </r>
    <r>
      <rPr>
        <b/>
        <sz val="10"/>
        <color theme="1"/>
        <rFont val="Arial Narrow"/>
        <family val="2"/>
      </rPr>
      <t>:</t>
    </r>
    <r>
      <rPr>
        <sz val="10"/>
        <color theme="1"/>
        <rFont val="Arial Narrow"/>
        <family val="2"/>
      </rPr>
      <t xml:space="preserve">                    </t>
    </r>
  </si>
  <si>
    <r>
      <rPr>
        <b/>
        <sz val="12"/>
        <color theme="1"/>
        <rFont val="Arial Narrow"/>
        <family val="2"/>
      </rPr>
      <t>· </t>
    </r>
    <r>
      <rPr>
        <sz val="12"/>
        <color theme="1"/>
        <rFont val="Arial Narrow"/>
        <family val="2"/>
      </rPr>
      <t>    Revisar periódicamente el comportamiento de la balanza mediante el control de pesas calibradas.</t>
    </r>
  </si>
  <si>
    <r>
      <rPr>
        <b/>
        <sz val="12"/>
        <color theme="1"/>
        <rFont val="Arial Narrow"/>
        <family val="2"/>
      </rPr>
      <t>·  </t>
    </r>
    <r>
      <rPr>
        <sz val="12"/>
        <color theme="1"/>
        <rFont val="Arial Narrow"/>
        <family val="2"/>
      </rPr>
      <t>  El desplazamiento de la  balanza a otro lugar con otras condiciones puede invalidar la calibración.</t>
    </r>
  </si>
  <si>
    <r>
      <rPr>
        <b/>
        <sz val="12"/>
        <color theme="1"/>
        <rFont val="Arial Narrow"/>
        <family val="2"/>
      </rPr>
      <t>·  </t>
    </r>
    <r>
      <rPr>
        <sz val="12"/>
        <color theme="1"/>
        <rFont val="Arial Narrow"/>
        <family val="2"/>
      </rPr>
      <t>  La balanza debe ubicarse en una base apropiada para evitar vibraciones.</t>
    </r>
  </si>
  <si>
    <r>
      <rPr>
        <b/>
        <sz val="12"/>
        <color theme="1"/>
        <rFont val="Arial Narrow"/>
        <family val="2"/>
      </rPr>
      <t>·  </t>
    </r>
    <r>
      <rPr>
        <sz val="12"/>
        <color theme="1"/>
        <rFont val="Arial Narrow"/>
        <family val="2"/>
      </rPr>
      <t>  En este certificado el signo decimal es la coma (,).</t>
    </r>
  </si>
  <si>
    <r>
      <t xml:space="preserve">3.   RESULTADOS DEL EXAMEN FÍSICO </t>
    </r>
    <r>
      <rPr>
        <sz val="10"/>
        <color theme="1"/>
        <rFont val="Arial Narrow"/>
        <family val="2"/>
      </rPr>
      <t xml:space="preserve">         </t>
    </r>
    <r>
      <rPr>
        <sz val="12"/>
        <color theme="1"/>
        <rFont val="Arial Narrow"/>
        <family val="2"/>
      </rPr>
      <t>El equipo se encuentra en buenas condiciones</t>
    </r>
  </si>
  <si>
    <t>FECHA DE CALIBRACIÓN</t>
  </si>
  <si>
    <t>CLASE DE PESAS</t>
  </si>
  <si>
    <t>6.   LUGAR Y DIRECCIÓN DE CALIBRACION :</t>
  </si>
  <si>
    <r>
      <t>Masa  Convencional (g)  m</t>
    </r>
    <r>
      <rPr>
        <vertAlign val="subscript"/>
        <sz val="11"/>
        <rFont val="Arial"/>
        <family val="2"/>
      </rPr>
      <t>c</t>
    </r>
  </si>
  <si>
    <r>
      <t>m</t>
    </r>
    <r>
      <rPr>
        <vertAlign val="subscript"/>
        <sz val="11"/>
        <color theme="1"/>
        <rFont val="Arial"/>
        <family val="2"/>
      </rPr>
      <t>c</t>
    </r>
  </si>
  <si>
    <r>
      <t>pI</t>
    </r>
    <r>
      <rPr>
        <b/>
        <i/>
        <vertAlign val="superscript"/>
        <sz val="11"/>
        <color theme="1"/>
        <rFont val="Arial"/>
        <family val="2"/>
      </rPr>
      <t>2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</si>
  <si>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(Eappr)</t>
    </r>
  </si>
  <si>
    <r>
      <t>min X2 = min Chi</t>
    </r>
    <r>
      <rPr>
        <b/>
        <i/>
        <vertAlign val="superscript"/>
        <sz val="11"/>
        <rFont val="Arial"/>
        <family val="2"/>
      </rPr>
      <t>2</t>
    </r>
  </si>
  <si>
    <r>
      <t>min X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 xml:space="preserve">  =</t>
    </r>
  </si>
  <si>
    <r>
      <t>a</t>
    </r>
    <r>
      <rPr>
        <b/>
        <i/>
        <vertAlign val="subscript"/>
        <sz val="11"/>
        <color theme="0"/>
        <rFont val="Arial"/>
        <family val="2"/>
      </rPr>
      <t xml:space="preserve">1    </t>
    </r>
  </si>
  <si>
    <r>
      <t>a</t>
    </r>
    <r>
      <rPr>
        <b/>
        <i/>
        <vertAlign val="subscript"/>
        <sz val="11"/>
        <color theme="1"/>
        <rFont val="Arial"/>
        <family val="2"/>
      </rPr>
      <t>1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=</t>
    </r>
  </si>
  <si>
    <r>
      <t>u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>(R) =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</si>
  <si>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(R(dys)) =</t>
    </r>
  </si>
  <si>
    <r>
      <t>u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(Eappr)</t>
    </r>
  </si>
  <si>
    <r>
      <t>R</t>
    </r>
    <r>
      <rPr>
        <b/>
        <vertAlign val="superscript"/>
        <sz val="11"/>
        <rFont val="Arial"/>
        <family val="2"/>
      </rPr>
      <t>2</t>
    </r>
  </si>
  <si>
    <t>HOJA DE CALCULO PARA CALIBRACIÓN DE BALANZAS</t>
  </si>
  <si>
    <t>Estima el desempeño del instrumento en el alcance total de su medición.</t>
  </si>
  <si>
    <t>DIF. (g)</t>
  </si>
  <si>
    <t>Sartorius</t>
  </si>
  <si>
    <t>13.   INCERTIDUMBRE DE LA MEDICIÓN.</t>
  </si>
  <si>
    <t>Indicación 1(g)</t>
  </si>
  <si>
    <t>11.   MODELO MATEMÁTICO</t>
  </si>
  <si>
    <t>Información</t>
  </si>
  <si>
    <t>No</t>
  </si>
  <si>
    <t>Fecha de Recepción</t>
  </si>
  <si>
    <t>Lugar de Calibración</t>
  </si>
  <si>
    <t>Codigo interno</t>
  </si>
  <si>
    <t>Certificado</t>
  </si>
  <si>
    <t>Pesas</t>
  </si>
  <si>
    <t>Marcación</t>
  </si>
  <si>
    <t>Valor nominal (g)</t>
  </si>
  <si>
    <t>Error (mg)</t>
  </si>
  <si>
    <t>Incertidumbre de calibración (mg)</t>
  </si>
  <si>
    <t>Identificación Interna</t>
  </si>
  <si>
    <t xml:space="preserve">E2   1 g  </t>
  </si>
  <si>
    <t>E 2</t>
  </si>
  <si>
    <t>AJS</t>
  </si>
  <si>
    <t>M-001</t>
  </si>
  <si>
    <t xml:space="preserve">E2   2 g  </t>
  </si>
  <si>
    <t>AKI</t>
  </si>
  <si>
    <t xml:space="preserve">E2   2 g punto </t>
  </si>
  <si>
    <t>AKJ</t>
  </si>
  <si>
    <t xml:space="preserve">E2   5 g  </t>
  </si>
  <si>
    <t>AGU</t>
  </si>
  <si>
    <t xml:space="preserve">E2   10 g  </t>
  </si>
  <si>
    <t>AH3</t>
  </si>
  <si>
    <t xml:space="preserve">E2   20 g  </t>
  </si>
  <si>
    <t>AJ1</t>
  </si>
  <si>
    <t xml:space="preserve">E2   20 g punto </t>
  </si>
  <si>
    <t>AKA</t>
  </si>
  <si>
    <t xml:space="preserve">E2   50 g  </t>
  </si>
  <si>
    <t>AHL</t>
  </si>
  <si>
    <t xml:space="preserve">E2   100 g  </t>
  </si>
  <si>
    <t>AJG</t>
  </si>
  <si>
    <t xml:space="preserve">E2   200 g  </t>
  </si>
  <si>
    <t>ALZ</t>
  </si>
  <si>
    <t xml:space="preserve">E2   200 g punto </t>
  </si>
  <si>
    <t>ALW</t>
  </si>
  <si>
    <t xml:space="preserve">E2   500 g  </t>
  </si>
  <si>
    <t>ACT</t>
  </si>
  <si>
    <t xml:space="preserve">E2   1000 g  </t>
  </si>
  <si>
    <t>ABN</t>
  </si>
  <si>
    <t xml:space="preserve">E2   2000 g  </t>
  </si>
  <si>
    <t>AC1</t>
  </si>
  <si>
    <t xml:space="preserve">E2   2000 g punto </t>
  </si>
  <si>
    <t>ABY</t>
  </si>
  <si>
    <t xml:space="preserve">E2   5000 g  </t>
  </si>
  <si>
    <t>AB9</t>
  </si>
  <si>
    <t>E2   10000 g</t>
  </si>
  <si>
    <t>AAM</t>
  </si>
  <si>
    <t xml:space="preserve">F1   1 g  </t>
  </si>
  <si>
    <t>F 1</t>
  </si>
  <si>
    <t>M-002</t>
  </si>
  <si>
    <t xml:space="preserve">F1   2 g  </t>
  </si>
  <si>
    <t xml:space="preserve">F1   2 g punto </t>
  </si>
  <si>
    <t>2*</t>
  </si>
  <si>
    <t xml:space="preserve">F1   5 g  </t>
  </si>
  <si>
    <t>Intervalo de Medición (g) Clase M1</t>
  </si>
  <si>
    <t xml:space="preserve">F1   10 g  </t>
  </si>
  <si>
    <t>A</t>
  </si>
  <si>
    <t xml:space="preserve">F1   20 g  </t>
  </si>
  <si>
    <t xml:space="preserve">F1   20 g punto </t>
  </si>
  <si>
    <t>20*</t>
  </si>
  <si>
    <t xml:space="preserve">F1   50 g  </t>
  </si>
  <si>
    <t xml:space="preserve">F1   100 g  </t>
  </si>
  <si>
    <t>N °  Certificado Aderido</t>
  </si>
  <si>
    <t xml:space="preserve">F1   200 g  </t>
  </si>
  <si>
    <t xml:space="preserve">F1   200 g punto </t>
  </si>
  <si>
    <t>200*</t>
  </si>
  <si>
    <t xml:space="preserve">F1   500 g  </t>
  </si>
  <si>
    <t xml:space="preserve">F1   1000 g  </t>
  </si>
  <si>
    <t xml:space="preserve">F1   2000 g  </t>
  </si>
  <si>
    <t xml:space="preserve">F1   2000 g punto </t>
  </si>
  <si>
    <t xml:space="preserve">F1   5000 g  </t>
  </si>
  <si>
    <t>F1   10000 g</t>
  </si>
  <si>
    <t>M-003</t>
  </si>
  <si>
    <t>F1   20000 g</t>
  </si>
  <si>
    <t>M-004</t>
  </si>
  <si>
    <t xml:space="preserve">F1 R  1 g  </t>
  </si>
  <si>
    <t>Rice Lake</t>
  </si>
  <si>
    <t>No identifica</t>
  </si>
  <si>
    <t>No porta</t>
  </si>
  <si>
    <t>Cap-376-16</t>
  </si>
  <si>
    <t>M-016</t>
  </si>
  <si>
    <t xml:space="preserve">F1 R  2 g  </t>
  </si>
  <si>
    <t xml:space="preserve">F1 R  2 g punto </t>
  </si>
  <si>
    <t>punto</t>
  </si>
  <si>
    <t xml:space="preserve">F1 R  5 g  </t>
  </si>
  <si>
    <t xml:space="preserve">F1 R  10 g  </t>
  </si>
  <si>
    <t xml:space="preserve">F1 R  20 g  </t>
  </si>
  <si>
    <t xml:space="preserve">F1 R  20 g punto </t>
  </si>
  <si>
    <t xml:space="preserve">F1 R  50 g  </t>
  </si>
  <si>
    <t xml:space="preserve">F1 R  100 g  </t>
  </si>
  <si>
    <t xml:space="preserve">F1 R  200 g  </t>
  </si>
  <si>
    <t xml:space="preserve">F1 R  200 g punto </t>
  </si>
  <si>
    <t xml:space="preserve">F1 R  500 g  </t>
  </si>
  <si>
    <t xml:space="preserve">F1 R  1000 g  </t>
  </si>
  <si>
    <t xml:space="preserve">F1 R  2000 g  </t>
  </si>
  <si>
    <t xml:space="preserve">F1 R  2000 g punto </t>
  </si>
  <si>
    <t xml:space="preserve">F1 R  5000 g  </t>
  </si>
  <si>
    <t>Metrologos</t>
  </si>
  <si>
    <t>Nombre del Metrologo</t>
  </si>
  <si>
    <t>AV</t>
  </si>
  <si>
    <t>Arcesio Velandia Carreño</t>
  </si>
  <si>
    <t xml:space="preserve"> Director Tecnico / Sust SGL</t>
  </si>
  <si>
    <t>LH</t>
  </si>
  <si>
    <t>Luis Henry Barreto Rojas</t>
  </si>
  <si>
    <t xml:space="preserve"> Sistema de Gestión / Sust Dir Tecnico</t>
  </si>
  <si>
    <t>PV</t>
  </si>
  <si>
    <t>Pedro Jose Vargas Lopéz</t>
  </si>
  <si>
    <t>Lab Volumen / Sust Lab Masa</t>
  </si>
  <si>
    <t>EA</t>
  </si>
  <si>
    <t>Elvis Aguirre Romero</t>
  </si>
  <si>
    <t xml:space="preserve"> Lab Masa / Sust Lab Volumen</t>
  </si>
  <si>
    <t>Patron Utilizado en la Calibración - Termohigrometros</t>
  </si>
  <si>
    <t>Identificación / Serie</t>
  </si>
  <si>
    <t>Capacidad (Según Certificado)</t>
  </si>
  <si>
    <t>División de Escala / Resolución</t>
  </si>
  <si>
    <t>Corrección (Según Certificado)</t>
  </si>
  <si>
    <t>Incertidumbre del Certificado</t>
  </si>
  <si>
    <t>Factor de Cobertura (Según Certificado)</t>
  </si>
  <si>
    <t>Fecha de Calibración</t>
  </si>
  <si>
    <t>Trazabilidad y numero</t>
  </si>
  <si>
    <t>Lufft Opus 20</t>
  </si>
  <si>
    <r>
      <t xml:space="preserve">masa para completar la carga  </t>
    </r>
    <r>
      <rPr>
        <sz val="11"/>
        <color rgb="FFFF0000"/>
        <rFont val="Arial"/>
        <family val="2"/>
      </rPr>
      <t>Max</t>
    </r>
    <r>
      <rPr>
        <sz val="11"/>
        <color theme="1"/>
        <rFont val="Arial"/>
        <family val="2"/>
      </rPr>
      <t xml:space="preserve"> (g)</t>
    </r>
  </si>
  <si>
    <t>Datos de la Balanza a Calibrar</t>
  </si>
  <si>
    <t>Viajeras F1  5 g</t>
  </si>
  <si>
    <t>Viajeras F1  200 g</t>
  </si>
  <si>
    <t>Viajeras F1  1 kg</t>
  </si>
  <si>
    <t>Viajeras F1  2 kg</t>
  </si>
  <si>
    <t>Viajeras F1  5 kg</t>
  </si>
  <si>
    <t>F1</t>
  </si>
  <si>
    <t>Datos de las Pesas Patrón</t>
  </si>
  <si>
    <t>Carga para Excentricidad g</t>
  </si>
  <si>
    <t>Carga para Repetibilidad g</t>
  </si>
  <si>
    <t>CMC Balanza</t>
  </si>
  <si>
    <t xml:space="preserve">Division de Escala (d)  (g)  </t>
  </si>
  <si>
    <t>CAP-377-16</t>
  </si>
  <si>
    <t>M-015</t>
  </si>
  <si>
    <t>Masa Convensional (g)</t>
  </si>
  <si>
    <r>
      <t>m</t>
    </r>
    <r>
      <rPr>
        <vertAlign val="subscript"/>
        <sz val="11"/>
        <color theme="1"/>
        <rFont val="Arial"/>
        <family val="2"/>
      </rPr>
      <t>N (g)</t>
    </r>
  </si>
  <si>
    <t>DATOS DE LAS PESAS PATRÓN</t>
  </si>
  <si>
    <t>Juego Viajeras</t>
  </si>
  <si>
    <t>Juego de Pesas</t>
  </si>
  <si>
    <t>Vansolix  S.A</t>
  </si>
  <si>
    <t xml:space="preserve">INM </t>
  </si>
  <si>
    <t xml:space="preserve"> Juego Patron de Referencia</t>
  </si>
  <si>
    <t>Juego patron de Trabajo 1</t>
  </si>
  <si>
    <t>Juego patron de Trabajo 2</t>
  </si>
  <si>
    <t>Patron de Trabajo</t>
  </si>
  <si>
    <t>Mettler Toledo</t>
  </si>
  <si>
    <t>No identificado</t>
  </si>
  <si>
    <t>0,22.0714.0802.024</t>
  </si>
  <si>
    <t>INM 1995</t>
  </si>
  <si>
    <t>INM 1997</t>
  </si>
  <si>
    <t>INM 2147</t>
  </si>
  <si>
    <t>0,26.0714.0802.024</t>
  </si>
  <si>
    <t>INM 1996</t>
  </si>
  <si>
    <t>INM 1999</t>
  </si>
  <si>
    <t>INM 2148</t>
  </si>
  <si>
    <t>CAH-061-16</t>
  </si>
  <si>
    <t>CAT-145-16</t>
  </si>
  <si>
    <t>CDT CERT-16-EMP-1057-2567</t>
  </si>
  <si>
    <t>CAT-144-16</t>
  </si>
  <si>
    <t>CAH-060-16</t>
  </si>
  <si>
    <t>CDT CERT-16-EMP-1056-2567</t>
  </si>
  <si>
    <t>0,23.0714.0802.024</t>
  </si>
  <si>
    <t>INM 1998</t>
  </si>
  <si>
    <t>INM 2149</t>
  </si>
  <si>
    <t>2.   CODIGO INTERNO</t>
  </si>
  <si>
    <t xml:space="preserve"> Fecha de elaboración: </t>
  </si>
  <si>
    <t>Código interno</t>
  </si>
  <si>
    <t xml:space="preserve">División de Escala (d)                  en (g)  </t>
  </si>
  <si>
    <t xml:space="preserve">Escalón de Verificación     en  (g)  </t>
  </si>
  <si>
    <t>Cargas para Error de Indicación (Exactitud)                                         según certificado</t>
  </si>
  <si>
    <t>Marcación de la pesa</t>
  </si>
  <si>
    <t>Indicación (g)</t>
  </si>
  <si>
    <t>s máxima (mg)</t>
  </si>
  <si>
    <t>Indicación 2(g)</t>
  </si>
  <si>
    <t>Esta prueba evalúa las indicaciones de una misma carga ubicada en diferentes posiciones del receptor de carga (figura 1), se realizó con (1/3) un tercio de la carga máxima de acuerdo a la Guía SIM MWG7/cg-01/v.00, numeral 5,3.</t>
  </si>
  <si>
    <t xml:space="preserve">La prueba consiste en la colocación repetitiva de la misma carga en el receptor de carga, bajo condiciones idénticas de manejo de la carga y del instrumento, y bajo las mismas condiciones de prueba, tanto como sea posible. Esta prueba fue realizada según numeral 5,1. de la Guía SIM MWG7/cg-01/v.00, </t>
  </si>
  <si>
    <r>
      <t>Densidad del aire kg/m</t>
    </r>
    <r>
      <rPr>
        <b/>
        <vertAlign val="superscript"/>
        <sz val="12"/>
        <rFont val="Arial"/>
        <family val="2"/>
      </rPr>
      <t>3</t>
    </r>
  </si>
  <si>
    <r>
      <t xml:space="preserve">Unidades en   " °C ,  rH%  </t>
    </r>
    <r>
      <rPr>
        <sz val="14"/>
        <rFont val="Arial"/>
        <family val="2"/>
      </rPr>
      <t>y</t>
    </r>
    <r>
      <rPr>
        <b/>
        <sz val="14"/>
        <rFont val="Arial"/>
        <family val="2"/>
      </rPr>
      <t xml:space="preserve"> hPa " </t>
    </r>
    <r>
      <rPr>
        <sz val="14"/>
        <rFont val="Arial"/>
        <family val="2"/>
      </rPr>
      <t xml:space="preserve"> según corresponda</t>
    </r>
  </si>
  <si>
    <t>U (g)</t>
  </si>
  <si>
    <t>ERROR (g)</t>
  </si>
  <si>
    <t>Carga máx. (g)</t>
  </si>
  <si>
    <t>DATOS TERMOHIGRÓMETRO - BARÓMETRO</t>
  </si>
  <si>
    <t>Fecha Certificado</t>
  </si>
  <si>
    <t>M-010</t>
  </si>
  <si>
    <t>Incertidumbre   U=(k=2)</t>
  </si>
  <si>
    <t>8.   CONDICIONES AMBIENTALES CORREGIDAS.</t>
  </si>
  <si>
    <t>CAT-144-16 - CAH-060-16 - CDT CERT-16-EMP-1056-2567</t>
  </si>
  <si>
    <t xml:space="preserve">M-012  </t>
  </si>
  <si>
    <t>°C</t>
  </si>
  <si>
    <t>%Rh</t>
  </si>
  <si>
    <t>hPa</t>
  </si>
  <si>
    <t>Temperatura</t>
  </si>
  <si>
    <t>Humedad</t>
  </si>
  <si>
    <t>2016-11-01 - 2016-11-02 -    2016-10-28</t>
  </si>
  <si>
    <t>Codigo Interno</t>
  </si>
  <si>
    <t>Metrologó</t>
  </si>
  <si>
    <t xml:space="preserve">  V-002 </t>
  </si>
  <si>
    <t>2016-07-29 - 2016-08-04 -    2016-09-12</t>
  </si>
  <si>
    <t>INM 1995-1998-2149</t>
  </si>
  <si>
    <t>Presión Admosferica</t>
  </si>
  <si>
    <t xml:space="preserve">M-012 </t>
  </si>
  <si>
    <t xml:space="preserve">M-013 </t>
  </si>
  <si>
    <t>2016-10-31 - 2016-10-31 -    2016-10-28</t>
  </si>
  <si>
    <t>CAT-144-16 - CAH-060-16 - CDT CERT-16-EMP-1057-2567</t>
  </si>
  <si>
    <t xml:space="preserve">M-010 </t>
  </si>
  <si>
    <t>INM-1996</t>
  </si>
  <si>
    <t>INM 1996-1999-2148</t>
  </si>
  <si>
    <t>INM- 1999</t>
  </si>
  <si>
    <t>INM - 2148</t>
  </si>
  <si>
    <t xml:space="preserve">M-011 </t>
  </si>
  <si>
    <t>INM-1994</t>
  </si>
  <si>
    <t>2016-08-04 - 2016-08-04 -    2016-09-12</t>
  </si>
  <si>
    <t>INM-1994-1997-2147</t>
  </si>
  <si>
    <t>INM-1997</t>
  </si>
  <si>
    <t>INM-2147</t>
  </si>
  <si>
    <t>V-002</t>
  </si>
  <si>
    <t xml:space="preserve">M-013  </t>
  </si>
  <si>
    <t>M-011</t>
  </si>
  <si>
    <t>INCERTIDUMBRE EXPANDIDA (mg)</t>
  </si>
  <si>
    <t>INCERTIDUMBRE EXPANDIDA (g)</t>
  </si>
  <si>
    <r>
      <t xml:space="preserve">U (E)  </t>
    </r>
    <r>
      <rPr>
        <b/>
        <sz val="11"/>
        <color rgb="FFFF0000"/>
        <rFont val="Arial"/>
        <family val="2"/>
      </rPr>
      <t>(g)</t>
    </r>
    <r>
      <rPr>
        <b/>
        <sz val="11"/>
        <color theme="1"/>
        <rFont val="Arial"/>
        <family val="2"/>
      </rPr>
      <t xml:space="preserve"> =</t>
    </r>
  </si>
  <si>
    <t xml:space="preserve">Promedio Condiciones Ambientales </t>
  </si>
  <si>
    <t>Promedio Condiciones Ambientales Corregidas</t>
  </si>
  <si>
    <t>condiciones de medición</t>
  </si>
  <si>
    <t>K</t>
  </si>
  <si>
    <t>Nivel de Confianza</t>
  </si>
  <si>
    <r>
      <t xml:space="preserve">Hora </t>
    </r>
    <r>
      <rPr>
        <b/>
        <sz val="12"/>
        <rFont val="Arial"/>
        <family val="2"/>
      </rPr>
      <t>final</t>
    </r>
  </si>
  <si>
    <t>Hora inicial</t>
  </si>
  <si>
    <r>
      <rPr>
        <b/>
        <sz val="12"/>
        <color theme="1"/>
        <rFont val="Arial Narrow"/>
        <family val="2"/>
      </rPr>
      <t xml:space="preserve">·   </t>
    </r>
    <r>
      <rPr>
        <sz val="12"/>
        <color theme="1"/>
        <rFont val="Arial Narrow"/>
        <family val="2"/>
      </rPr>
      <t>  La conformidad del equipo es responsabilidad del usuario según el uso y tolerancias establecidas                      .      en los procesos.</t>
    </r>
  </si>
  <si>
    <t xml:space="preserve">La prueba para los errores de las indicaciones se realizó según el numeral  5,2. de la Guía SIM MWG7/cg-01/v.00 </t>
  </si>
  <si>
    <t>Error de Indicación en g</t>
  </si>
  <si>
    <r>
      <t xml:space="preserve">Este Certificado de calibración documenta que el instrumento se examinó y  se comparó en las instalaciones del cliente, </t>
    </r>
    <r>
      <rPr>
        <b/>
        <i/>
        <sz val="10"/>
        <rFont val="Arial"/>
        <family val="2"/>
      </rPr>
      <t>los patrones empleados en la calibración documentan la trazabilidad conforme  al Sistema Internacional de Unidades (SI).</t>
    </r>
  </si>
  <si>
    <r>
      <t xml:space="preserve">En la calibración de Balanzas se utilizó </t>
    </r>
    <r>
      <rPr>
        <b/>
        <i/>
        <sz val="12"/>
        <rFont val="Arial Narrow"/>
        <family val="2"/>
      </rPr>
      <t>el procedimiento interno RT03-P05 Versión 1</t>
    </r>
    <r>
      <rPr>
        <sz val="12"/>
        <rFont val="Arial Narrow"/>
        <family val="2"/>
      </rPr>
      <t>, siguiendo los lineamientos, Guía para la calibración de los instrumentos para pesaje de funcionamiento no automático (SIM MWG7/cg-01v.00 - EURAMET/cg-18/v.02),aplicando las siguientes pruebas: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</si>
</sst>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0.000"/>
    <numFmt numFmtId="165" formatCode="0.00000"/>
    <numFmt numFmtId="166" formatCode="0.000000"/>
    <numFmt numFmtId="167" formatCode="0.0000000"/>
    <numFmt numFmtId="168" formatCode="yyyy\-mm\-dd;@"/>
    <numFmt numFmtId="169" formatCode="0.0000"/>
    <numFmt numFmtId="170" formatCode="0.0E+00"/>
    <numFmt numFmtId="171" formatCode="0.0"/>
    <numFmt numFmtId="172" formatCode="0.000000000"/>
    <numFmt numFmtId="173" formatCode="0.00000000"/>
    <numFmt numFmtId="174" formatCode="0.000E+00"/>
    <numFmt numFmtId="175" formatCode="0_ &quot;g&quot;"/>
    <numFmt numFmtId="176" formatCode="h:mm:ss;@"/>
    <numFmt numFmtId="177" formatCode="0_ &quot;mN&quot;"/>
    <numFmt numFmtId="178" formatCode="#,##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vertAlign val="subscript"/>
      <sz val="1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theme="0" tint="-4.9989318521683403E-2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b/>
      <i/>
      <vertAlign val="superscript"/>
      <sz val="11"/>
      <color theme="1"/>
      <name val="Arial"/>
      <family val="2"/>
    </font>
    <font>
      <b/>
      <i/>
      <vertAlign val="superscript"/>
      <sz val="11"/>
      <name val="Arial"/>
      <family val="2"/>
    </font>
    <font>
      <b/>
      <i/>
      <sz val="11"/>
      <color theme="0"/>
      <name val="Arial"/>
      <family val="2"/>
    </font>
    <font>
      <b/>
      <i/>
      <vertAlign val="superscript"/>
      <sz val="11"/>
      <color theme="0"/>
      <name val="Arial"/>
      <family val="2"/>
    </font>
    <font>
      <b/>
      <i/>
      <vertAlign val="subscript"/>
      <sz val="11"/>
      <color theme="0"/>
      <name val="Arial"/>
      <family val="2"/>
    </font>
    <font>
      <b/>
      <i/>
      <vertAlign val="subscript"/>
      <sz val="11"/>
      <color theme="1"/>
      <name val="Arial"/>
      <family val="2"/>
    </font>
    <font>
      <sz val="22"/>
      <color theme="0"/>
      <name val="Arial"/>
      <family val="2"/>
    </font>
    <font>
      <b/>
      <i/>
      <sz val="12"/>
      <color theme="1"/>
      <name val="Arial"/>
      <family val="2"/>
    </font>
    <font>
      <b/>
      <vertAlign val="superscript"/>
      <sz val="11"/>
      <name val="Arial"/>
      <family val="2"/>
    </font>
    <font>
      <sz val="26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4"/>
      <color theme="0"/>
      <name val="Arial"/>
      <family val="2"/>
    </font>
    <font>
      <sz val="11"/>
      <color rgb="FFFF000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i/>
      <sz val="11"/>
      <color theme="0"/>
      <name val="Arial"/>
      <family val="2"/>
    </font>
    <font>
      <sz val="12"/>
      <color theme="0"/>
      <name val="Arial Narrow"/>
      <family val="2"/>
    </font>
    <font>
      <b/>
      <sz val="12"/>
      <name val="Arial Narrow"/>
      <family val="2"/>
    </font>
    <font>
      <b/>
      <i/>
      <sz val="10"/>
      <name val="Arial"/>
      <family val="2"/>
    </font>
    <font>
      <b/>
      <i/>
      <sz val="12"/>
      <name val="Arial Narrow"/>
      <family val="2"/>
    </font>
    <font>
      <b/>
      <i/>
      <sz val="12"/>
      <name val="Arial"/>
      <family val="2"/>
    </font>
    <font>
      <b/>
      <i/>
      <sz val="10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8DB4E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gradientFill degree="90">
        <stop position="0">
          <color rgb="FFFFFF00"/>
        </stop>
        <stop position="1">
          <color rgb="FF7030A0"/>
        </stop>
      </gradientFill>
    </fill>
    <fill>
      <patternFill patternType="solid">
        <fgColor theme="0"/>
        <bgColor auto="1"/>
      </patternFill>
    </fill>
    <fill>
      <patternFill patternType="darkGray">
        <bgColor rgb="FF0070C0"/>
      </patternFill>
    </fill>
    <fill>
      <patternFill patternType="solid">
        <fgColor rgb="FFF4B08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5" borderId="0" applyNumberFormat="0" applyBorder="0" applyAlignment="0" applyProtection="0"/>
    <xf numFmtId="2" fontId="5" fillId="14" borderId="5" applyFont="0" applyBorder="0" applyAlignment="0">
      <alignment horizontal="center" vertical="center" wrapText="1"/>
      <protection locked="0"/>
    </xf>
    <xf numFmtId="0" fontId="6" fillId="16" borderId="1" applyBorder="0">
      <alignment horizontal="center" vertical="center"/>
    </xf>
  </cellStyleXfs>
  <cellXfs count="865">
    <xf numFmtId="0" fontId="0" fillId="0" borderId="0" xfId="0"/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168" fontId="6" fillId="0" borderId="0" xfId="0" applyNumberFormat="1" applyFont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justify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/>
    <xf numFmtId="0" fontId="7" fillId="0" borderId="0" xfId="0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justify" wrapText="1"/>
    </xf>
    <xf numFmtId="0" fontId="6" fillId="0" borderId="0" xfId="0" applyFont="1" applyAlignment="1">
      <alignment vertical="justify" wrapText="1"/>
    </xf>
    <xf numFmtId="0" fontId="6" fillId="0" borderId="0" xfId="0" applyFont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1" fontId="6" fillId="0" borderId="0" xfId="0" applyNumberFormat="1" applyFont="1" applyBorder="1" applyAlignment="1">
      <alignment horizontal="left" vertical="center" wrapText="1"/>
    </xf>
    <xf numFmtId="0" fontId="15" fillId="0" borderId="0" xfId="0" applyFont="1"/>
    <xf numFmtId="0" fontId="8" fillId="0" borderId="0" xfId="0" applyFont="1" applyBorder="1" applyAlignment="1">
      <alignment horizontal="left" vertical="center" wrapText="1"/>
    </xf>
    <xf numFmtId="168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9" fillId="0" borderId="3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71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9" fillId="0" borderId="37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169" fontId="8" fillId="2" borderId="1" xfId="0" applyNumberFormat="1" applyFont="1" applyFill="1" applyBorder="1" applyAlignment="1" applyProtection="1">
      <alignment horizontal="center" vertical="center" wrapText="1"/>
    </xf>
    <xf numFmtId="171" fontId="7" fillId="0" borderId="0" xfId="0" applyNumberFormat="1" applyFont="1" applyBorder="1" applyAlignment="1">
      <alignment horizontal="left" vertical="center" wrapText="1"/>
    </xf>
    <xf numFmtId="169" fontId="8" fillId="2" borderId="0" xfId="0" applyNumberFormat="1" applyFont="1" applyFill="1" applyBorder="1" applyAlignment="1" applyProtection="1">
      <alignment horizontal="center" vertical="center" wrapText="1"/>
    </xf>
    <xf numFmtId="166" fontId="8" fillId="2" borderId="0" xfId="0" applyNumberFormat="1" applyFont="1" applyFill="1" applyBorder="1" applyAlignment="1" applyProtection="1">
      <alignment horizontal="center" vertical="center"/>
    </xf>
    <xf numFmtId="164" fontId="8" fillId="2" borderId="0" xfId="0" applyNumberFormat="1" applyFont="1" applyFill="1" applyBorder="1" applyAlignment="1" applyProtection="1">
      <alignment horizontal="center" vertical="center"/>
    </xf>
    <xf numFmtId="0" fontId="11" fillId="0" borderId="39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left" vertical="center" wrapText="1"/>
    </xf>
    <xf numFmtId="168" fontId="8" fillId="0" borderId="6" xfId="0" applyNumberFormat="1" applyFont="1" applyBorder="1" applyAlignment="1">
      <alignment horizontal="left" vertical="center" wrapText="1"/>
    </xf>
    <xf numFmtId="1" fontId="8" fillId="0" borderId="6" xfId="0" applyNumberFormat="1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2" fontId="8" fillId="0" borderId="0" xfId="0" applyNumberFormat="1" applyFont="1"/>
    <xf numFmtId="171" fontId="8" fillId="0" borderId="18" xfId="0" applyNumberFormat="1" applyFont="1" applyBorder="1" applyAlignment="1">
      <alignment horizontal="center" vertical="center" wrapText="1"/>
    </xf>
    <xf numFmtId="171" fontId="8" fillId="0" borderId="20" xfId="0" applyNumberFormat="1" applyFont="1" applyBorder="1" applyAlignment="1">
      <alignment horizontal="center" vertical="center" wrapText="1"/>
    </xf>
    <xf numFmtId="171" fontId="8" fillId="2" borderId="1" xfId="0" applyNumberFormat="1" applyFont="1" applyFill="1" applyBorder="1" applyAlignment="1" applyProtection="1">
      <alignment horizontal="center" vertical="center"/>
    </xf>
    <xf numFmtId="169" fontId="8" fillId="0" borderId="20" xfId="0" applyNumberFormat="1" applyFont="1" applyBorder="1" applyAlignment="1">
      <alignment horizontal="center" vertical="center" wrapText="1"/>
    </xf>
    <xf numFmtId="169" fontId="8" fillId="0" borderId="1" xfId="0" applyNumberFormat="1" applyFont="1" applyBorder="1" applyAlignment="1">
      <alignment horizontal="center"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left" vertical="center" wrapText="1"/>
    </xf>
    <xf numFmtId="2" fontId="26" fillId="15" borderId="0" xfId="3" applyFont="1" applyFill="1" applyBorder="1" applyAlignment="1">
      <alignment horizontal="center" vertical="center" wrapText="1"/>
      <protection locked="0"/>
    </xf>
    <xf numFmtId="166" fontId="8" fillId="2" borderId="20" xfId="0" applyNumberFormat="1" applyFont="1" applyFill="1" applyBorder="1" applyAlignment="1" applyProtection="1">
      <alignment horizontal="center" vertical="center" wrapText="1"/>
    </xf>
    <xf numFmtId="171" fontId="8" fillId="2" borderId="20" xfId="0" applyNumberFormat="1" applyFont="1" applyFill="1" applyBorder="1" applyAlignment="1" applyProtection="1">
      <alignment horizontal="center" vertical="center"/>
    </xf>
    <xf numFmtId="2" fontId="9" fillId="2" borderId="9" xfId="0" applyNumberFormat="1" applyFont="1" applyFill="1" applyBorder="1" applyAlignment="1" applyProtection="1">
      <alignment horizontal="center" vertical="center"/>
    </xf>
    <xf numFmtId="2" fontId="9" fillId="2" borderId="10" xfId="0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justify" wrapText="1"/>
    </xf>
    <xf numFmtId="2" fontId="18" fillId="0" borderId="0" xfId="0" applyNumberFormat="1" applyFont="1" applyProtection="1">
      <protection hidden="1"/>
    </xf>
    <xf numFmtId="0" fontId="18" fillId="2" borderId="0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center" vertical="center" wrapText="1"/>
      <protection hidden="1"/>
    </xf>
    <xf numFmtId="2" fontId="18" fillId="2" borderId="0" xfId="0" applyNumberFormat="1" applyFont="1" applyFill="1" applyBorder="1" applyAlignment="1" applyProtection="1">
      <alignment vertical="center" wrapText="1"/>
      <protection hidden="1"/>
    </xf>
    <xf numFmtId="0" fontId="18" fillId="0" borderId="0" xfId="0" applyFont="1" applyProtection="1">
      <protection hidden="1"/>
    </xf>
    <xf numFmtId="2" fontId="18" fillId="2" borderId="0" xfId="0" applyNumberFormat="1" applyFont="1" applyFill="1" applyBorder="1" applyProtection="1">
      <protection hidden="1"/>
    </xf>
    <xf numFmtId="2" fontId="18" fillId="0" borderId="0" xfId="0" applyNumberFormat="1" applyFont="1" applyFill="1" applyBorder="1" applyProtection="1">
      <protection hidden="1"/>
    </xf>
    <xf numFmtId="2" fontId="18" fillId="2" borderId="0" xfId="0" applyNumberFormat="1" applyFont="1" applyFill="1" applyProtection="1">
      <protection hidden="1"/>
    </xf>
    <xf numFmtId="2" fontId="19" fillId="0" borderId="0" xfId="2" applyNumberFormat="1" applyFont="1" applyFill="1" applyBorder="1" applyAlignment="1" applyProtection="1">
      <alignment horizontal="center" vertical="center"/>
      <protection hidden="1"/>
    </xf>
    <xf numFmtId="2" fontId="20" fillId="0" borderId="0" xfId="2" applyNumberFormat="1" applyFont="1" applyFill="1" applyBorder="1" applyAlignment="1" applyProtection="1">
      <alignment horizontal="center" vertical="center"/>
      <protection hidden="1"/>
    </xf>
    <xf numFmtId="2" fontId="19" fillId="0" borderId="0" xfId="2" applyNumberFormat="1" applyFont="1" applyFill="1" applyBorder="1" applyAlignment="1" applyProtection="1">
      <alignment horizontal="center" vertical="center" wrapText="1"/>
      <protection hidden="1"/>
    </xf>
    <xf numFmtId="2" fontId="20" fillId="0" borderId="0" xfId="2" applyNumberFormat="1" applyFont="1" applyFill="1" applyBorder="1" applyAlignment="1" applyProtection="1">
      <alignment vertical="center"/>
      <protection hidden="1"/>
    </xf>
    <xf numFmtId="2" fontId="20" fillId="0" borderId="0" xfId="2" applyNumberFormat="1" applyFont="1" applyFill="1" applyBorder="1" applyAlignment="1" applyProtection="1">
      <alignment vertical="center" wrapText="1"/>
      <protection hidden="1"/>
    </xf>
    <xf numFmtId="2" fontId="18" fillId="2" borderId="0" xfId="0" applyNumberFormat="1" applyFont="1" applyFill="1" applyBorder="1" applyAlignment="1" applyProtection="1">
      <alignment vertical="center"/>
      <protection hidden="1"/>
    </xf>
    <xf numFmtId="2" fontId="20" fillId="0" borderId="0" xfId="2" applyNumberFormat="1" applyFont="1" applyFill="1" applyBorder="1" applyAlignment="1" applyProtection="1">
      <protection hidden="1"/>
    </xf>
    <xf numFmtId="2" fontId="18" fillId="0" borderId="0" xfId="0" applyNumberFormat="1" applyFont="1" applyAlignment="1" applyProtection="1">
      <alignment vertical="center"/>
      <protection hidden="1"/>
    </xf>
    <xf numFmtId="2" fontId="20" fillId="0" borderId="0" xfId="2" applyNumberFormat="1" applyFont="1" applyFill="1" applyBorder="1" applyAlignment="1" applyProtection="1">
      <alignment horizontal="center"/>
      <protection hidden="1"/>
    </xf>
    <xf numFmtId="2" fontId="20" fillId="0" borderId="0" xfId="2" applyNumberFormat="1" applyFont="1" applyFill="1" applyBorder="1" applyProtection="1">
      <protection hidden="1"/>
    </xf>
    <xf numFmtId="2" fontId="19" fillId="0" borderId="0" xfId="2" applyNumberFormat="1" applyFont="1" applyFill="1" applyBorder="1" applyAlignment="1" applyProtection="1">
      <protection hidden="1"/>
    </xf>
    <xf numFmtId="2" fontId="19" fillId="0" borderId="0" xfId="2" applyNumberFormat="1" applyFont="1" applyFill="1" applyBorder="1" applyAlignment="1" applyProtection="1">
      <alignment vertical="center"/>
      <protection hidden="1"/>
    </xf>
    <xf numFmtId="2" fontId="18" fillId="0" borderId="0" xfId="0" applyNumberFormat="1" applyFont="1" applyFill="1" applyBorder="1" applyAlignment="1" applyProtection="1">
      <alignment vertical="center"/>
      <protection hidden="1"/>
    </xf>
    <xf numFmtId="2" fontId="19" fillId="6" borderId="18" xfId="2" applyNumberFormat="1" applyFont="1" applyFill="1" applyBorder="1" applyAlignment="1" applyProtection="1">
      <protection hidden="1"/>
    </xf>
    <xf numFmtId="2" fontId="19" fillId="6" borderId="20" xfId="2" applyNumberFormat="1" applyFont="1" applyFill="1" applyBorder="1" applyAlignment="1" applyProtection="1">
      <protection hidden="1"/>
    </xf>
    <xf numFmtId="2" fontId="20" fillId="6" borderId="20" xfId="2" applyNumberFormat="1" applyFont="1" applyFill="1" applyBorder="1" applyAlignment="1" applyProtection="1">
      <alignment horizontal="center"/>
      <protection hidden="1"/>
    </xf>
    <xf numFmtId="2" fontId="18" fillId="6" borderId="3" xfId="0" applyNumberFormat="1" applyFont="1" applyFill="1" applyBorder="1" applyAlignment="1" applyProtection="1">
      <alignment vertical="center"/>
      <protection hidden="1"/>
    </xf>
    <xf numFmtId="2" fontId="18" fillId="6" borderId="1" xfId="0" applyNumberFormat="1" applyFont="1" applyFill="1" applyBorder="1" applyAlignment="1" applyProtection="1">
      <alignment vertical="center"/>
      <protection hidden="1"/>
    </xf>
    <xf numFmtId="2" fontId="19" fillId="6" borderId="3" xfId="2" applyNumberFormat="1" applyFont="1" applyFill="1" applyBorder="1" applyAlignment="1" applyProtection="1">
      <alignment vertical="center" wrapText="1"/>
      <protection hidden="1"/>
    </xf>
    <xf numFmtId="2" fontId="19" fillId="6" borderId="1" xfId="2" applyNumberFormat="1" applyFont="1" applyFill="1" applyBorder="1" applyAlignment="1" applyProtection="1">
      <alignment vertical="center" wrapText="1"/>
      <protection hidden="1"/>
    </xf>
    <xf numFmtId="2" fontId="19" fillId="6" borderId="27" xfId="2" applyNumberFormat="1" applyFont="1" applyFill="1" applyBorder="1" applyAlignment="1" applyProtection="1">
      <alignment horizontal="center"/>
      <protection hidden="1"/>
    </xf>
    <xf numFmtId="2" fontId="19" fillId="6" borderId="31" xfId="2" applyNumberFormat="1" applyFont="1" applyFill="1" applyBorder="1" applyAlignment="1" applyProtection="1">
      <alignment horizontal="center"/>
      <protection hidden="1"/>
    </xf>
    <xf numFmtId="2" fontId="18" fillId="6" borderId="20" xfId="0" applyNumberFormat="1" applyFont="1" applyFill="1" applyBorder="1" applyAlignment="1" applyProtection="1">
      <alignment vertical="center"/>
      <protection hidden="1"/>
    </xf>
    <xf numFmtId="2" fontId="18" fillId="6" borderId="27" xfId="0" applyNumberFormat="1" applyFont="1" applyFill="1" applyBorder="1" applyAlignment="1" applyProtection="1">
      <alignment vertical="center"/>
      <protection hidden="1"/>
    </xf>
    <xf numFmtId="177" fontId="19" fillId="0" borderId="0" xfId="2" applyNumberFormat="1" applyFont="1" applyFill="1" applyBorder="1" applyAlignment="1" applyProtection="1">
      <protection hidden="1"/>
    </xf>
    <xf numFmtId="2" fontId="18" fillId="6" borderId="1" xfId="0" applyNumberFormat="1" applyFont="1" applyFill="1" applyBorder="1" applyAlignment="1" applyProtection="1">
      <alignment horizontal="center" vertical="center"/>
      <protection hidden="1"/>
    </xf>
    <xf numFmtId="2" fontId="5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20" xfId="0" applyNumberFormat="1" applyFont="1" applyFill="1" applyBorder="1" applyAlignment="1" applyProtection="1">
      <alignment horizontal="center" vertical="center"/>
      <protection hidden="1"/>
    </xf>
    <xf numFmtId="2" fontId="20" fillId="0" borderId="0" xfId="2" applyNumberFormat="1" applyFont="1" applyFill="1" applyBorder="1" applyAlignment="1" applyProtection="1">
      <alignment horizontal="right" vertical="center"/>
      <protection hidden="1"/>
    </xf>
    <xf numFmtId="1" fontId="18" fillId="0" borderId="0" xfId="0" applyNumberFormat="1" applyFont="1" applyAlignment="1" applyProtection="1">
      <alignment horizontal="left" vertical="center"/>
      <protection hidden="1"/>
    </xf>
    <xf numFmtId="2" fontId="18" fillId="6" borderId="34" xfId="0" applyNumberFormat="1" applyFont="1" applyFill="1" applyBorder="1" applyAlignment="1" applyProtection="1">
      <alignment horizontal="center" vertical="center" wrapText="1"/>
      <protection hidden="1"/>
    </xf>
    <xf numFmtId="2" fontId="24" fillId="0" borderId="0" xfId="0" applyNumberFormat="1" applyFont="1" applyFill="1" applyBorder="1" applyAlignment="1" applyProtection="1">
      <alignment vertical="center" wrapText="1"/>
      <protection hidden="1"/>
    </xf>
    <xf numFmtId="2" fontId="24" fillId="6" borderId="20" xfId="0" applyNumberFormat="1" applyFont="1" applyFill="1" applyBorder="1" applyAlignment="1" applyProtection="1">
      <alignment horizontal="center" vertical="center"/>
      <protection hidden="1"/>
    </xf>
    <xf numFmtId="2" fontId="24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4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37" xfId="0" applyNumberFormat="1" applyFont="1" applyFill="1" applyBorder="1" applyAlignment="1" applyProtection="1">
      <alignment horizontal="center" vertical="center"/>
      <protection hidden="1"/>
    </xf>
    <xf numFmtId="1" fontId="18" fillId="9" borderId="37" xfId="0" applyNumberFormat="1" applyFont="1" applyFill="1" applyBorder="1" applyAlignment="1" applyProtection="1">
      <alignment horizontal="center" vertical="center"/>
      <protection hidden="1"/>
    </xf>
    <xf numFmtId="1" fontId="24" fillId="6" borderId="20" xfId="0" applyNumberFormat="1" applyFont="1" applyFill="1" applyBorder="1" applyAlignment="1" applyProtection="1">
      <alignment horizontal="center" vertical="center"/>
      <protection hidden="1"/>
    </xf>
    <xf numFmtId="2" fontId="24" fillId="6" borderId="1" xfId="0" applyNumberFormat="1" applyFont="1" applyFill="1" applyBorder="1" applyAlignment="1" applyProtection="1">
      <alignment horizontal="center" vertical="center"/>
      <protection hidden="1"/>
    </xf>
    <xf numFmtId="1" fontId="24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24" fillId="6" borderId="1" xfId="0" applyNumberFormat="1" applyFont="1" applyFill="1" applyBorder="1" applyAlignment="1" applyProtection="1">
      <alignment horizontal="center" vertical="center" wrapText="1"/>
      <protection hidden="1"/>
    </xf>
    <xf numFmtId="171" fontId="24" fillId="9" borderId="1" xfId="0" applyNumberFormat="1" applyFont="1" applyFill="1" applyBorder="1" applyAlignment="1" applyProtection="1">
      <alignment horizontal="center" vertical="center"/>
      <protection hidden="1"/>
    </xf>
    <xf numFmtId="2" fontId="24" fillId="6" borderId="1" xfId="0" applyNumberFormat="1" applyFont="1" applyFill="1" applyBorder="1" applyAlignment="1" applyProtection="1">
      <alignment horizontal="center" wrapText="1"/>
      <protection hidden="1"/>
    </xf>
    <xf numFmtId="2" fontId="24" fillId="9" borderId="1" xfId="0" applyNumberFormat="1" applyFont="1" applyFill="1" applyBorder="1" applyAlignment="1" applyProtection="1">
      <alignment horizontal="center" vertical="center"/>
      <protection hidden="1"/>
    </xf>
    <xf numFmtId="171" fontId="18" fillId="2" borderId="0" xfId="0" applyNumberFormat="1" applyFont="1" applyFill="1" applyBorder="1" applyProtection="1">
      <protection hidden="1"/>
    </xf>
    <xf numFmtId="2" fontId="18" fillId="0" borderId="0" xfId="0" applyNumberFormat="1" applyFont="1" applyFill="1" applyProtection="1">
      <protection hidden="1"/>
    </xf>
    <xf numFmtId="1" fontId="18" fillId="6" borderId="1" xfId="0" applyNumberFormat="1" applyFont="1" applyFill="1" applyBorder="1" applyAlignment="1" applyProtection="1">
      <alignment horizontal="center" vertical="center"/>
      <protection hidden="1"/>
    </xf>
    <xf numFmtId="1" fontId="18" fillId="6" borderId="20" xfId="0" applyNumberFormat="1" applyFont="1" applyFill="1" applyBorder="1" applyAlignment="1" applyProtection="1">
      <alignment horizontal="center" vertical="center"/>
      <protection hidden="1"/>
    </xf>
    <xf numFmtId="1" fontId="18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21" fillId="0" borderId="0" xfId="0" applyNumberFormat="1" applyFont="1" applyFill="1" applyBorder="1" applyAlignment="1" applyProtection="1">
      <alignment vertical="center"/>
      <protection hidden="1"/>
    </xf>
    <xf numFmtId="2" fontId="18" fillId="9" borderId="1" xfId="0" applyNumberFormat="1" applyFont="1" applyFill="1" applyBorder="1" applyAlignment="1" applyProtection="1">
      <alignment horizontal="center" vertical="center"/>
      <protection hidden="1"/>
    </xf>
    <xf numFmtId="164" fontId="18" fillId="9" borderId="1" xfId="0" applyNumberFormat="1" applyFont="1" applyFill="1" applyBorder="1" applyAlignment="1" applyProtection="1">
      <alignment horizontal="center" vertical="center"/>
      <protection hidden="1"/>
    </xf>
    <xf numFmtId="2" fontId="18" fillId="0" borderId="0" xfId="0" applyNumberFormat="1" applyFont="1" applyBorder="1" applyProtection="1">
      <protection hidden="1"/>
    </xf>
    <xf numFmtId="2" fontId="18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20" xfId="0" applyNumberFormat="1" applyFont="1" applyFill="1" applyBorder="1" applyAlignment="1" applyProtection="1">
      <alignment horizontal="left" vertical="center"/>
      <protection hidden="1"/>
    </xf>
    <xf numFmtId="166" fontId="18" fillId="6" borderId="1" xfId="0" applyNumberFormat="1" applyFont="1" applyFill="1" applyBorder="1" applyAlignment="1" applyProtection="1">
      <alignment horizontal="center" vertical="center"/>
      <protection hidden="1"/>
    </xf>
    <xf numFmtId="166" fontId="18" fillId="9" borderId="1" xfId="0" applyNumberFormat="1" applyFont="1" applyFill="1" applyBorder="1" applyAlignment="1" applyProtection="1">
      <alignment horizontal="center" vertical="center"/>
      <protection hidden="1"/>
    </xf>
    <xf numFmtId="165" fontId="18" fillId="9" borderId="1" xfId="0" applyNumberFormat="1" applyFont="1" applyFill="1" applyBorder="1" applyAlignment="1" applyProtection="1">
      <alignment horizontal="center" vertical="center"/>
      <protection hidden="1"/>
    </xf>
    <xf numFmtId="169" fontId="18" fillId="6" borderId="1" xfId="0" applyNumberFormat="1" applyFont="1" applyFill="1" applyBorder="1" applyAlignment="1" applyProtection="1">
      <alignment horizontal="center" vertical="center"/>
      <protection hidden="1"/>
    </xf>
    <xf numFmtId="2" fontId="18" fillId="10" borderId="1" xfId="0" applyNumberFormat="1" applyFont="1" applyFill="1" applyBorder="1" applyAlignment="1" applyProtection="1">
      <alignment horizontal="center" vertical="center"/>
      <protection hidden="1"/>
    </xf>
    <xf numFmtId="2" fontId="18" fillId="0" borderId="20" xfId="0" applyNumberFormat="1" applyFont="1" applyBorder="1" applyProtection="1">
      <protection hidden="1"/>
    </xf>
    <xf numFmtId="2" fontId="18" fillId="0" borderId="0" xfId="0" applyNumberFormat="1" applyFont="1" applyFill="1" applyBorder="1" applyAlignment="1" applyProtection="1">
      <alignment horizontal="center" vertical="center"/>
      <protection hidden="1"/>
    </xf>
    <xf numFmtId="171" fontId="18" fillId="9" borderId="1" xfId="0" applyNumberFormat="1" applyFont="1" applyFill="1" applyBorder="1" applyAlignment="1" applyProtection="1">
      <alignment horizontal="center" vertical="center"/>
      <protection hidden="1"/>
    </xf>
    <xf numFmtId="169" fontId="18" fillId="0" borderId="0" xfId="0" applyNumberFormat="1" applyFont="1" applyFill="1" applyBorder="1" applyProtection="1">
      <protection hidden="1"/>
    </xf>
    <xf numFmtId="2" fontId="20" fillId="6" borderId="20" xfId="0" applyNumberFormat="1" applyFont="1" applyFill="1" applyBorder="1" applyAlignment="1" applyProtection="1">
      <alignment horizontal="center" vertical="center"/>
      <protection hidden="1"/>
    </xf>
    <xf numFmtId="2" fontId="25" fillId="3" borderId="9" xfId="0" applyNumberFormat="1" applyFont="1" applyFill="1" applyBorder="1" applyAlignment="1" applyProtection="1">
      <alignment horizontal="center" vertical="center"/>
      <protection hidden="1"/>
    </xf>
    <xf numFmtId="2" fontId="26" fillId="3" borderId="11" xfId="0" applyNumberFormat="1" applyFont="1" applyFill="1" applyBorder="1" applyAlignment="1" applyProtection="1">
      <alignment horizontal="center" vertical="center" wrapText="1"/>
      <protection hidden="1"/>
    </xf>
    <xf numFmtId="169" fontId="20" fillId="9" borderId="1" xfId="0" applyNumberFormat="1" applyFont="1" applyFill="1" applyBorder="1" applyAlignment="1" applyProtection="1">
      <alignment horizontal="center" vertical="center"/>
      <protection hidden="1"/>
    </xf>
    <xf numFmtId="2" fontId="20" fillId="9" borderId="20" xfId="0" applyNumberFormat="1" applyFont="1" applyFill="1" applyBorder="1" applyAlignment="1" applyProtection="1">
      <alignment horizontal="center"/>
      <protection hidden="1"/>
    </xf>
    <xf numFmtId="2" fontId="20" fillId="9" borderId="1" xfId="0" applyNumberFormat="1" applyFont="1" applyFill="1" applyBorder="1" applyAlignment="1" applyProtection="1">
      <alignment horizontal="center"/>
      <protection hidden="1"/>
    </xf>
    <xf numFmtId="166" fontId="19" fillId="9" borderId="33" xfId="0" applyNumberFormat="1" applyFont="1" applyFill="1" applyBorder="1" applyAlignment="1" applyProtection="1">
      <alignment horizontal="center" vertical="center"/>
      <protection hidden="1"/>
    </xf>
    <xf numFmtId="167" fontId="20" fillId="9" borderId="20" xfId="0" applyNumberFormat="1" applyFont="1" applyFill="1" applyBorder="1" applyAlignment="1" applyProtection="1">
      <alignment horizontal="center" vertical="center"/>
      <protection hidden="1"/>
    </xf>
    <xf numFmtId="167" fontId="20" fillId="9" borderId="1" xfId="0" applyNumberFormat="1" applyFont="1" applyFill="1" applyBorder="1" applyAlignment="1" applyProtection="1">
      <alignment horizontal="center" vertical="center"/>
      <protection hidden="1"/>
    </xf>
    <xf numFmtId="167" fontId="19" fillId="9" borderId="33" xfId="0" applyNumberFormat="1" applyFont="1" applyFill="1" applyBorder="1" applyAlignment="1" applyProtection="1">
      <alignment horizontal="center" vertical="center"/>
      <protection hidden="1"/>
    </xf>
    <xf numFmtId="2" fontId="20" fillId="6" borderId="2" xfId="0" applyNumberFormat="1" applyFont="1" applyFill="1" applyBorder="1" applyProtection="1">
      <protection hidden="1"/>
    </xf>
    <xf numFmtId="2" fontId="20" fillId="6" borderId="19" xfId="0" applyNumberFormat="1" applyFont="1" applyFill="1" applyBorder="1" applyAlignment="1" applyProtection="1">
      <alignment horizontal="center" vertical="center"/>
      <protection hidden="1"/>
    </xf>
    <xf numFmtId="2" fontId="18" fillId="6" borderId="19" xfId="0" applyNumberFormat="1" applyFont="1" applyFill="1" applyBorder="1" applyAlignment="1" applyProtection="1">
      <alignment horizontal="center" vertical="center"/>
      <protection hidden="1"/>
    </xf>
    <xf numFmtId="165" fontId="27" fillId="3" borderId="51" xfId="0" applyNumberFormat="1" applyFont="1" applyFill="1" applyBorder="1" applyAlignment="1" applyProtection="1">
      <alignment horizontal="center" vertical="center"/>
      <protection hidden="1"/>
    </xf>
    <xf numFmtId="165" fontId="27" fillId="3" borderId="52" xfId="0" applyNumberFormat="1" applyFont="1" applyFill="1" applyBorder="1" applyAlignment="1" applyProtection="1">
      <alignment horizontal="center" vertical="center"/>
      <protection hidden="1"/>
    </xf>
    <xf numFmtId="165" fontId="27" fillId="3" borderId="53" xfId="0" applyNumberFormat="1" applyFont="1" applyFill="1" applyBorder="1" applyAlignment="1" applyProtection="1">
      <alignment horizontal="center" vertical="center"/>
      <protection hidden="1"/>
    </xf>
    <xf numFmtId="2" fontId="24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24" fillId="0" borderId="25" xfId="0" applyNumberFormat="1" applyFont="1" applyFill="1" applyBorder="1" applyAlignment="1" applyProtection="1">
      <alignment vertical="center" wrapText="1"/>
      <protection hidden="1"/>
    </xf>
    <xf numFmtId="1" fontId="18" fillId="9" borderId="1" xfId="0" applyNumberFormat="1" applyFont="1" applyFill="1" applyBorder="1" applyAlignment="1" applyProtection="1">
      <alignment horizontal="center" vertical="center"/>
      <protection hidden="1"/>
    </xf>
    <xf numFmtId="1" fontId="18" fillId="9" borderId="3" xfId="0" applyNumberFormat="1" applyFont="1" applyFill="1" applyBorder="1" applyAlignment="1" applyProtection="1">
      <alignment horizontal="center" vertical="center"/>
      <protection hidden="1"/>
    </xf>
    <xf numFmtId="2" fontId="24" fillId="6" borderId="2" xfId="0" applyNumberFormat="1" applyFont="1" applyFill="1" applyBorder="1" applyAlignment="1" applyProtection="1">
      <alignment vertical="center" wrapText="1"/>
      <protection hidden="1"/>
    </xf>
    <xf numFmtId="2" fontId="18" fillId="6" borderId="19" xfId="0" applyNumberFormat="1" applyFont="1" applyFill="1" applyBorder="1" applyProtection="1">
      <protection hidden="1"/>
    </xf>
    <xf numFmtId="2" fontId="24" fillId="6" borderId="3" xfId="0" applyNumberFormat="1" applyFont="1" applyFill="1" applyBorder="1" applyAlignment="1" applyProtection="1">
      <alignment horizontal="left" vertical="center" wrapText="1"/>
      <protection hidden="1"/>
    </xf>
    <xf numFmtId="165" fontId="24" fillId="9" borderId="29" xfId="0" applyNumberFormat="1" applyFont="1" applyFill="1" applyBorder="1" applyAlignment="1" applyProtection="1">
      <alignment horizontal="center" vertical="center"/>
      <protection hidden="1"/>
    </xf>
    <xf numFmtId="165" fontId="24" fillId="9" borderId="33" xfId="0" applyNumberFormat="1" applyFont="1" applyFill="1" applyBorder="1" applyAlignment="1" applyProtection="1">
      <alignment horizontal="center" vertical="center"/>
      <protection hidden="1"/>
    </xf>
    <xf numFmtId="1" fontId="18" fillId="9" borderId="18" xfId="0" applyNumberFormat="1" applyFont="1" applyFill="1" applyBorder="1" applyAlignment="1" applyProtection="1">
      <alignment horizontal="center" vertical="center"/>
      <protection hidden="1"/>
    </xf>
    <xf numFmtId="1" fontId="18" fillId="9" borderId="20" xfId="0" applyNumberFormat="1" applyFont="1" applyFill="1" applyBorder="1" applyAlignment="1" applyProtection="1">
      <alignment horizontal="center" vertical="center"/>
      <protection hidden="1"/>
    </xf>
    <xf numFmtId="165" fontId="19" fillId="9" borderId="18" xfId="0" applyNumberFormat="1" applyFont="1" applyFill="1" applyBorder="1" applyAlignment="1" applyProtection="1">
      <alignment horizontal="center" vertical="center"/>
      <protection hidden="1"/>
    </xf>
    <xf numFmtId="165" fontId="19" fillId="9" borderId="20" xfId="0" applyNumberFormat="1" applyFont="1" applyFill="1" applyBorder="1" applyAlignment="1" applyProtection="1">
      <alignment horizontal="center" vertical="center"/>
      <protection hidden="1"/>
    </xf>
    <xf numFmtId="2" fontId="24" fillId="6" borderId="19" xfId="0" applyNumberFormat="1" applyFont="1" applyFill="1" applyBorder="1" applyAlignment="1" applyProtection="1">
      <alignment vertical="center" wrapText="1"/>
      <protection hidden="1"/>
    </xf>
    <xf numFmtId="2" fontId="18" fillId="6" borderId="3" xfId="0" applyNumberFormat="1" applyFont="1" applyFill="1" applyBorder="1" applyAlignment="1" applyProtection="1">
      <alignment horizontal="center" vertical="center"/>
      <protection hidden="1"/>
    </xf>
    <xf numFmtId="167" fontId="19" fillId="9" borderId="20" xfId="0" applyNumberFormat="1" applyFont="1" applyFill="1" applyBorder="1" applyAlignment="1" applyProtection="1">
      <alignment horizontal="center" vertical="center"/>
      <protection hidden="1"/>
    </xf>
    <xf numFmtId="10" fontId="19" fillId="9" borderId="3" xfId="1" applyNumberFormat="1" applyFont="1" applyFill="1" applyBorder="1" applyAlignment="1" applyProtection="1">
      <alignment horizontal="center" vertical="center"/>
      <protection hidden="1"/>
    </xf>
    <xf numFmtId="2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20" fillId="0" borderId="0" xfId="0" applyNumberFormat="1" applyFont="1" applyFill="1" applyBorder="1" applyAlignment="1" applyProtection="1">
      <alignment horizontal="center" vertical="center"/>
      <protection hidden="1"/>
    </xf>
    <xf numFmtId="1" fontId="19" fillId="10" borderId="1" xfId="0" applyNumberFormat="1" applyFont="1" applyFill="1" applyBorder="1" applyAlignment="1" applyProtection="1">
      <alignment horizontal="center" vertical="center" wrapText="1"/>
      <protection hidden="1"/>
    </xf>
    <xf numFmtId="2" fontId="20" fillId="0" borderId="0" xfId="0" applyNumberFormat="1" applyFont="1" applyFill="1" applyBorder="1" applyProtection="1">
      <protection hidden="1"/>
    </xf>
    <xf numFmtId="2" fontId="29" fillId="6" borderId="27" xfId="0" applyNumberFormat="1" applyFont="1" applyFill="1" applyBorder="1" applyAlignment="1" applyProtection="1">
      <alignment horizontal="center" vertical="center"/>
      <protection hidden="1"/>
    </xf>
    <xf numFmtId="2" fontId="29" fillId="6" borderId="31" xfId="0" applyNumberFormat="1" applyFont="1" applyFill="1" applyBorder="1" applyAlignment="1" applyProtection="1">
      <alignment horizontal="centerContinuous" vertical="center" wrapText="1"/>
      <protection hidden="1"/>
    </xf>
    <xf numFmtId="2" fontId="29" fillId="6" borderId="30" xfId="0" applyNumberFormat="1" applyFont="1" applyFill="1" applyBorder="1" applyAlignment="1" applyProtection="1">
      <alignment horizontal="centerContinuous" vertical="center" wrapText="1"/>
      <protection hidden="1"/>
    </xf>
    <xf numFmtId="2" fontId="18" fillId="6" borderId="20" xfId="0" applyNumberFormat="1" applyFont="1" applyFill="1" applyBorder="1" applyProtection="1">
      <protection hidden="1"/>
    </xf>
    <xf numFmtId="2" fontId="18" fillId="6" borderId="17" xfId="0" applyNumberFormat="1" applyFont="1" applyFill="1" applyBorder="1" applyAlignment="1" applyProtection="1">
      <alignment horizontal="centerContinuous"/>
      <protection hidden="1"/>
    </xf>
    <xf numFmtId="2" fontId="18" fillId="6" borderId="18" xfId="0" applyNumberFormat="1" applyFont="1" applyFill="1" applyBorder="1" applyAlignment="1" applyProtection="1">
      <alignment horizontal="centerContinuous"/>
      <protection hidden="1"/>
    </xf>
    <xf numFmtId="174" fontId="18" fillId="9" borderId="1" xfId="0" applyNumberFormat="1" applyFont="1" applyFill="1" applyBorder="1" applyAlignment="1" applyProtection="1">
      <alignment horizontal="center" vertical="center" wrapText="1"/>
      <protection hidden="1"/>
    </xf>
    <xf numFmtId="174" fontId="18" fillId="9" borderId="2" xfId="1" applyNumberFormat="1" applyFont="1" applyFill="1" applyBorder="1" applyAlignment="1" applyProtection="1">
      <alignment vertical="center" wrapText="1"/>
      <protection hidden="1"/>
    </xf>
    <xf numFmtId="174" fontId="18" fillId="9" borderId="3" xfId="1" applyNumberFormat="1" applyFont="1" applyFill="1" applyBorder="1" applyAlignment="1" applyProtection="1">
      <alignment vertical="center" wrapText="1"/>
      <protection hidden="1"/>
    </xf>
    <xf numFmtId="174" fontId="18" fillId="9" borderId="1" xfId="1" applyNumberFormat="1" applyFont="1" applyFill="1" applyBorder="1" applyAlignment="1" applyProtection="1">
      <alignment horizontal="center" vertical="center" wrapText="1"/>
      <protection hidden="1"/>
    </xf>
    <xf numFmtId="174" fontId="18" fillId="9" borderId="3" xfId="0" applyNumberFormat="1" applyFont="1" applyFill="1" applyBorder="1" applyAlignment="1" applyProtection="1">
      <alignment vertical="center" wrapText="1"/>
      <protection hidden="1"/>
    </xf>
    <xf numFmtId="174" fontId="21" fillId="9" borderId="3" xfId="0" applyNumberFormat="1" applyFont="1" applyFill="1" applyBorder="1" applyAlignment="1" applyProtection="1">
      <alignment vertical="center" wrapText="1"/>
      <protection hidden="1"/>
    </xf>
    <xf numFmtId="174" fontId="24" fillId="9" borderId="1" xfId="0" applyNumberFormat="1" applyFont="1" applyFill="1" applyBorder="1" applyProtection="1">
      <protection hidden="1"/>
    </xf>
    <xf numFmtId="173" fontId="18" fillId="2" borderId="0" xfId="0" applyNumberFormat="1" applyFont="1" applyFill="1" applyBorder="1" applyProtection="1">
      <protection hidden="1"/>
    </xf>
    <xf numFmtId="2" fontId="32" fillId="3" borderId="0" xfId="0" applyNumberFormat="1" applyFont="1" applyFill="1" applyBorder="1" applyAlignment="1" applyProtection="1">
      <alignment horizontal="left" vertical="center"/>
      <protection hidden="1"/>
    </xf>
    <xf numFmtId="2" fontId="25" fillId="3" borderId="0" xfId="0" applyNumberFormat="1" applyFont="1" applyFill="1" applyBorder="1" applyProtection="1">
      <protection hidden="1"/>
    </xf>
    <xf numFmtId="167" fontId="18" fillId="9" borderId="1" xfId="0" applyNumberFormat="1" applyFont="1" applyFill="1" applyBorder="1" applyAlignment="1" applyProtection="1">
      <alignment horizontal="center" vertical="center"/>
      <protection hidden="1"/>
    </xf>
    <xf numFmtId="2" fontId="32" fillId="3" borderId="0" xfId="0" applyNumberFormat="1" applyFont="1" applyFill="1" applyBorder="1" applyAlignment="1" applyProtection="1">
      <alignment horizontal="center" vertical="top"/>
      <protection hidden="1"/>
    </xf>
    <xf numFmtId="2" fontId="32" fillId="3" borderId="0" xfId="0" applyNumberFormat="1" applyFont="1" applyFill="1" applyBorder="1" applyAlignment="1" applyProtection="1">
      <alignment horizontal="center" vertical="center"/>
      <protection hidden="1"/>
    </xf>
    <xf numFmtId="2" fontId="32" fillId="3" borderId="0" xfId="0" applyNumberFormat="1" applyFont="1" applyFill="1" applyBorder="1" applyAlignment="1" applyProtection="1">
      <alignment horizontal="right" vertical="center"/>
      <protection hidden="1"/>
    </xf>
    <xf numFmtId="2" fontId="29" fillId="6" borderId="19" xfId="0" applyNumberFormat="1" applyFont="1" applyFill="1" applyBorder="1" applyAlignment="1" applyProtection="1">
      <alignment horizontal="center" vertical="center"/>
      <protection hidden="1"/>
    </xf>
    <xf numFmtId="174" fontId="18" fillId="9" borderId="1" xfId="0" applyNumberFormat="1" applyFont="1" applyFill="1" applyBorder="1" applyAlignment="1" applyProtection="1">
      <alignment horizontal="center" vertical="center"/>
      <protection hidden="1"/>
    </xf>
    <xf numFmtId="2" fontId="25" fillId="3" borderId="0" xfId="0" applyNumberFormat="1" applyFont="1" applyFill="1" applyBorder="1" applyAlignment="1" applyProtection="1">
      <alignment horizontal="center" vertical="center"/>
      <protection hidden="1"/>
    </xf>
    <xf numFmtId="2" fontId="32" fillId="3" borderId="0" xfId="0" applyNumberFormat="1" applyFont="1" applyFill="1" applyBorder="1" applyAlignment="1" applyProtection="1">
      <alignment horizontal="center" wrapText="1"/>
      <protection hidden="1"/>
    </xf>
    <xf numFmtId="164" fontId="18" fillId="9" borderId="1" xfId="0" applyNumberFormat="1" applyFont="1" applyFill="1" applyBorder="1" applyAlignment="1" applyProtection="1">
      <alignment horizontal="center" vertical="center" wrapText="1"/>
      <protection hidden="1"/>
    </xf>
    <xf numFmtId="2" fontId="18" fillId="11" borderId="19" xfId="0" applyNumberFormat="1" applyFont="1" applyFill="1" applyBorder="1" applyAlignment="1" applyProtection="1">
      <alignment horizontal="center" vertical="center"/>
      <protection hidden="1"/>
    </xf>
    <xf numFmtId="2" fontId="29" fillId="6" borderId="33" xfId="0" applyNumberFormat="1" applyFont="1" applyFill="1" applyBorder="1" applyAlignment="1" applyProtection="1">
      <alignment horizontal="left" vertical="center"/>
      <protection hidden="1"/>
    </xf>
    <xf numFmtId="2" fontId="29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18" fillId="0" borderId="1" xfId="0" applyNumberFormat="1" applyFont="1" applyFill="1" applyBorder="1" applyAlignment="1" applyProtection="1">
      <alignment horizontal="center" vertical="center"/>
      <protection hidden="1"/>
    </xf>
    <xf numFmtId="1" fontId="18" fillId="9" borderId="38" xfId="0" applyNumberFormat="1" applyFont="1" applyFill="1" applyBorder="1" applyAlignment="1" applyProtection="1">
      <alignment horizontal="center" vertical="center"/>
      <protection hidden="1"/>
    </xf>
    <xf numFmtId="164" fontId="18" fillId="9" borderId="38" xfId="0" applyNumberFormat="1" applyFont="1" applyFill="1" applyBorder="1" applyAlignment="1" applyProtection="1">
      <alignment horizontal="center" vertical="center"/>
      <protection hidden="1"/>
    </xf>
    <xf numFmtId="1" fontId="18" fillId="9" borderId="36" xfId="0" applyNumberFormat="1" applyFont="1" applyFill="1" applyBorder="1" applyAlignment="1" applyProtection="1">
      <alignment horizontal="center" vertical="center"/>
      <protection hidden="1"/>
    </xf>
    <xf numFmtId="164" fontId="18" fillId="9" borderId="36" xfId="0" applyNumberFormat="1" applyFont="1" applyFill="1" applyBorder="1" applyAlignment="1" applyProtection="1">
      <alignment horizontal="center" vertical="center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2" fontId="18" fillId="9" borderId="36" xfId="0" applyNumberFormat="1" applyFont="1" applyFill="1" applyBorder="1" applyAlignment="1" applyProtection="1">
      <alignment horizontal="center" vertical="center"/>
      <protection hidden="1"/>
    </xf>
    <xf numFmtId="2" fontId="18" fillId="2" borderId="0" xfId="0" applyNumberFormat="1" applyFont="1" applyFill="1" applyBorder="1" applyAlignment="1" applyProtection="1">
      <alignment horizontal="left" vertical="center"/>
      <protection hidden="1"/>
    </xf>
    <xf numFmtId="2" fontId="19" fillId="6" borderId="2" xfId="2" applyNumberFormat="1" applyFont="1" applyFill="1" applyBorder="1" applyAlignment="1" applyProtection="1">
      <alignment horizontal="center" vertical="center"/>
      <protection hidden="1"/>
    </xf>
    <xf numFmtId="2" fontId="19" fillId="6" borderId="3" xfId="2" applyNumberFormat="1" applyFont="1" applyFill="1" applyBorder="1" applyAlignment="1" applyProtection="1">
      <alignment horizontal="center" vertical="center"/>
      <protection hidden="1"/>
    </xf>
    <xf numFmtId="174" fontId="18" fillId="9" borderId="3" xfId="0" applyNumberFormat="1" applyFont="1" applyFill="1" applyBorder="1" applyAlignment="1" applyProtection="1">
      <alignment horizontal="center" vertical="center"/>
      <protection hidden="1"/>
    </xf>
    <xf numFmtId="0" fontId="3" fillId="6" borderId="1" xfId="2" applyFont="1" applyFill="1" applyBorder="1" applyAlignment="1" applyProtection="1">
      <alignment horizontal="center" vertical="center"/>
      <protection hidden="1"/>
    </xf>
    <xf numFmtId="11" fontId="18" fillId="2" borderId="0" xfId="0" applyNumberFormat="1" applyFont="1" applyFill="1" applyBorder="1" applyProtection="1">
      <protection hidden="1"/>
    </xf>
    <xf numFmtId="2" fontId="18" fillId="2" borderId="0" xfId="0" applyNumberFormat="1" applyFont="1" applyFill="1" applyBorder="1" applyAlignment="1" applyProtection="1">
      <alignment horizontal="center"/>
      <protection hidden="1"/>
    </xf>
    <xf numFmtId="14" fontId="5" fillId="9" borderId="51" xfId="0" applyNumberFormat="1" applyFont="1" applyFill="1" applyBorder="1" applyAlignment="1" applyProtection="1">
      <alignment horizontal="center" vertical="center" wrapText="1"/>
      <protection hidden="1"/>
    </xf>
    <xf numFmtId="2" fontId="18" fillId="9" borderId="16" xfId="0" applyNumberFormat="1" applyFont="1" applyFill="1" applyBorder="1" applyAlignment="1" applyProtection="1">
      <alignment horizontal="centerContinuous" vertical="center" wrapText="1"/>
      <protection hidden="1"/>
    </xf>
    <xf numFmtId="0" fontId="18" fillId="9" borderId="1" xfId="0" applyFont="1" applyFill="1" applyBorder="1" applyAlignment="1" applyProtection="1">
      <alignment horizontal="center" vertical="center"/>
      <protection hidden="1"/>
    </xf>
    <xf numFmtId="2" fontId="28" fillId="6" borderId="9" xfId="2" applyNumberFormat="1" applyFont="1" applyFill="1" applyBorder="1" applyAlignment="1" applyProtection="1">
      <alignment horizontal="center" vertical="center" wrapText="1"/>
      <protection hidden="1"/>
    </xf>
    <xf numFmtId="2" fontId="28" fillId="6" borderId="10" xfId="2" applyNumberFormat="1" applyFont="1" applyFill="1" applyBorder="1" applyAlignment="1" applyProtection="1">
      <alignment horizontal="center" vertical="center" wrapText="1"/>
      <protection hidden="1"/>
    </xf>
    <xf numFmtId="2" fontId="4" fillId="6" borderId="10" xfId="0" applyNumberFormat="1" applyFont="1" applyFill="1" applyBorder="1" applyAlignment="1" applyProtection="1">
      <alignment horizontal="center" vertical="center" wrapText="1"/>
      <protection hidden="1"/>
    </xf>
    <xf numFmtId="2" fontId="28" fillId="6" borderId="50" xfId="2" applyNumberFormat="1" applyFont="1" applyFill="1" applyBorder="1" applyAlignment="1" applyProtection="1">
      <alignment horizontal="center" vertical="center" wrapText="1"/>
      <protection hidden="1"/>
    </xf>
    <xf numFmtId="2" fontId="6" fillId="6" borderId="1" xfId="0" applyNumberFormat="1" applyFont="1" applyFill="1" applyBorder="1" applyAlignment="1" applyProtection="1">
      <alignment horizontal="center" vertical="center"/>
      <protection hidden="1"/>
    </xf>
    <xf numFmtId="2" fontId="29" fillId="6" borderId="2" xfId="0" applyNumberFormat="1" applyFont="1" applyFill="1" applyBorder="1" applyAlignment="1" applyProtection="1">
      <alignment vertical="center"/>
      <protection hidden="1"/>
    </xf>
    <xf numFmtId="2" fontId="29" fillId="6" borderId="3" xfId="0" applyNumberFormat="1" applyFont="1" applyFill="1" applyBorder="1" applyAlignment="1" applyProtection="1">
      <alignment vertical="center"/>
      <protection hidden="1"/>
    </xf>
    <xf numFmtId="2" fontId="24" fillId="6" borderId="3" xfId="0" applyNumberFormat="1" applyFont="1" applyFill="1" applyBorder="1" applyAlignment="1" applyProtection="1">
      <alignment horizontal="center" vertical="center"/>
      <protection hidden="1"/>
    </xf>
    <xf numFmtId="1" fontId="19" fillId="17" borderId="1" xfId="0" applyNumberFormat="1" applyFont="1" applyFill="1" applyBorder="1" applyAlignment="1" applyProtection="1">
      <alignment horizontal="center" vertical="center" wrapText="1"/>
      <protection hidden="1"/>
    </xf>
    <xf numFmtId="164" fontId="18" fillId="17" borderId="1" xfId="0" applyNumberFormat="1" applyFont="1" applyFill="1" applyBorder="1" applyAlignment="1" applyProtection="1">
      <alignment horizontal="center" vertical="center"/>
      <protection hidden="1"/>
    </xf>
    <xf numFmtId="2" fontId="18" fillId="17" borderId="1" xfId="0" applyNumberFormat="1" applyFont="1" applyFill="1" applyBorder="1" applyAlignment="1" applyProtection="1">
      <alignment horizontal="center" vertical="center"/>
      <protection hidden="1"/>
    </xf>
    <xf numFmtId="1" fontId="18" fillId="17" borderId="1" xfId="0" applyNumberFormat="1" applyFont="1" applyFill="1" applyBorder="1" applyAlignment="1" applyProtection="1">
      <alignment horizontal="center" vertical="center"/>
      <protection hidden="1"/>
    </xf>
    <xf numFmtId="174" fontId="18" fillId="17" borderId="1" xfId="0" applyNumberFormat="1" applyFont="1" applyFill="1" applyBorder="1" applyAlignment="1" applyProtection="1">
      <alignment horizontal="center" vertical="center"/>
      <protection hidden="1"/>
    </xf>
    <xf numFmtId="2" fontId="18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" fontId="18" fillId="14" borderId="37" xfId="3" applyNumberFormat="1" applyFont="1" applyBorder="1" applyAlignment="1" applyProtection="1">
      <alignment horizontal="center" vertical="center"/>
      <protection locked="0"/>
    </xf>
    <xf numFmtId="1" fontId="18" fillId="14" borderId="16" xfId="3" applyNumberFormat="1" applyFont="1" applyBorder="1" applyAlignment="1" applyProtection="1">
      <alignment horizontal="center" vertical="center" wrapText="1"/>
      <protection locked="0"/>
    </xf>
    <xf numFmtId="1" fontId="24" fillId="14" borderId="37" xfId="3" applyNumberFormat="1" applyFont="1" applyBorder="1" applyAlignment="1" applyProtection="1">
      <alignment horizontal="center" vertical="center"/>
      <protection locked="0"/>
    </xf>
    <xf numFmtId="1" fontId="19" fillId="14" borderId="37" xfId="3" applyNumberFormat="1" applyFont="1" applyBorder="1" applyAlignment="1" applyProtection="1">
      <alignment horizontal="center" vertical="center"/>
      <protection locked="0"/>
    </xf>
    <xf numFmtId="1" fontId="20" fillId="14" borderId="37" xfId="3" applyNumberFormat="1" applyFont="1" applyBorder="1" applyAlignment="1" applyProtection="1">
      <alignment horizontal="center" vertical="center"/>
      <protection locked="0"/>
    </xf>
    <xf numFmtId="176" fontId="18" fillId="4" borderId="20" xfId="0" applyNumberFormat="1" applyFont="1" applyFill="1" applyBorder="1" applyAlignment="1" applyProtection="1">
      <alignment horizontal="center" vertical="center"/>
      <protection locked="0"/>
    </xf>
    <xf numFmtId="171" fontId="18" fillId="4" borderId="20" xfId="0" applyNumberFormat="1" applyFont="1" applyFill="1" applyBorder="1" applyAlignment="1" applyProtection="1">
      <alignment horizontal="center" vertical="center"/>
      <protection locked="0"/>
    </xf>
    <xf numFmtId="171" fontId="18" fillId="4" borderId="20" xfId="0" applyNumberFormat="1" applyFont="1" applyFill="1" applyBorder="1" applyAlignment="1" applyProtection="1">
      <alignment horizontal="center" vertical="center" wrapText="1"/>
      <protection locked="0"/>
    </xf>
    <xf numFmtId="171" fontId="18" fillId="7" borderId="1" xfId="0" applyNumberFormat="1" applyFont="1" applyFill="1" applyBorder="1" applyAlignment="1" applyProtection="1">
      <alignment horizontal="center" vertical="center"/>
      <protection locked="0"/>
    </xf>
    <xf numFmtId="2" fontId="18" fillId="0" borderId="0" xfId="0" applyNumberFormat="1" applyFont="1" applyProtection="1">
      <protection locked="0"/>
    </xf>
    <xf numFmtId="168" fontId="0" fillId="0" borderId="0" xfId="0" applyNumberForma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18" fillId="9" borderId="18" xfId="0" applyNumberFormat="1" applyFont="1" applyFill="1" applyBorder="1" applyAlignment="1" applyProtection="1">
      <alignment horizontal="centerContinuous" vertical="center" wrapText="1"/>
      <protection hidden="1"/>
    </xf>
    <xf numFmtId="0" fontId="46" fillId="0" borderId="1" xfId="4" applyFont="1" applyFill="1" applyBorder="1" applyProtection="1">
      <alignment horizontal="center" vertical="center"/>
    </xf>
    <xf numFmtId="0" fontId="46" fillId="0" borderId="8" xfId="4" applyFont="1" applyFill="1" applyBorder="1" applyProtection="1">
      <alignment horizontal="center" vertical="center"/>
    </xf>
    <xf numFmtId="171" fontId="18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" fontId="18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68" fontId="5" fillId="9" borderId="51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20" xfId="4" applyFont="1" applyFill="1" applyBorder="1" applyProtection="1">
      <alignment horizontal="center" vertical="center"/>
    </xf>
    <xf numFmtId="0" fontId="46" fillId="0" borderId="33" xfId="4" applyFont="1" applyFill="1" applyBorder="1" applyProtection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5" fillId="0" borderId="5" xfId="0" applyNumberFormat="1" applyFont="1" applyBorder="1" applyAlignment="1" applyProtection="1"/>
    <xf numFmtId="0" fontId="45" fillId="0" borderId="42" xfId="0" applyNumberFormat="1" applyFont="1" applyBorder="1" applyAlignment="1" applyProtection="1"/>
    <xf numFmtId="0" fontId="45" fillId="0" borderId="1" xfId="0" applyNumberFormat="1" applyFont="1" applyFill="1" applyBorder="1" applyAlignment="1" applyProtection="1">
      <alignment horizontal="center" vertical="center"/>
    </xf>
    <xf numFmtId="168" fontId="45" fillId="0" borderId="1" xfId="0" applyNumberFormat="1" applyFont="1" applyFill="1" applyBorder="1" applyAlignment="1" applyProtection="1">
      <alignment horizontal="center" vertical="center"/>
    </xf>
    <xf numFmtId="0" fontId="45" fillId="0" borderId="1" xfId="0" applyNumberFormat="1" applyFont="1" applyFill="1" applyBorder="1" applyAlignment="1" applyProtection="1">
      <alignment horizontal="center" vertical="center" wrapText="1"/>
    </xf>
    <xf numFmtId="0" fontId="45" fillId="0" borderId="45" xfId="0" applyNumberFormat="1" applyFont="1" applyFill="1" applyBorder="1" applyAlignment="1" applyProtection="1">
      <alignment horizontal="center" vertical="center"/>
    </xf>
    <xf numFmtId="0" fontId="46" fillId="0" borderId="8" xfId="0" applyNumberFormat="1" applyFont="1" applyFill="1" applyBorder="1" applyProtection="1"/>
    <xf numFmtId="0" fontId="46" fillId="0" borderId="12" xfId="0" applyNumberFormat="1" applyFont="1" applyFill="1" applyBorder="1" applyProtection="1"/>
    <xf numFmtId="0" fontId="46" fillId="0" borderId="0" xfId="0" applyFont="1" applyProtection="1"/>
    <xf numFmtId="0" fontId="46" fillId="0" borderId="0" xfId="0" applyFont="1" applyBorder="1" applyProtection="1"/>
    <xf numFmtId="0" fontId="46" fillId="0" borderId="0" xfId="0" applyFont="1" applyAlignment="1" applyProtection="1">
      <alignment horizontal="center" vertical="center"/>
    </xf>
    <xf numFmtId="0" fontId="45" fillId="0" borderId="4" xfId="0" applyNumberFormat="1" applyFont="1" applyBorder="1" applyAlignment="1" applyProtection="1"/>
    <xf numFmtId="0" fontId="46" fillId="0" borderId="0" xfId="0" applyFont="1" applyFill="1" applyBorder="1" applyProtection="1"/>
    <xf numFmtId="0" fontId="45" fillId="0" borderId="44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Protection="1"/>
    <xf numFmtId="0" fontId="46" fillId="0" borderId="7" xfId="0" applyNumberFormat="1" applyFont="1" applyFill="1" applyBorder="1" applyProtection="1"/>
    <xf numFmtId="0" fontId="45" fillId="0" borderId="45" xfId="0" applyNumberFormat="1" applyFont="1" applyFill="1" applyBorder="1" applyAlignment="1" applyProtection="1">
      <alignment horizontal="center" vertical="center" wrapText="1"/>
    </xf>
    <xf numFmtId="0" fontId="45" fillId="0" borderId="7" xfId="0" applyNumberFormat="1" applyFont="1" applyFill="1" applyBorder="1" applyAlignment="1" applyProtection="1">
      <alignment horizontal="center"/>
    </xf>
    <xf numFmtId="0" fontId="45" fillId="0" borderId="8" xfId="0" applyNumberFormat="1" applyFont="1" applyFill="1" applyBorder="1" applyAlignment="1" applyProtection="1">
      <alignment horizontal="center"/>
    </xf>
    <xf numFmtId="0" fontId="45" fillId="0" borderId="8" xfId="0" applyNumberFormat="1" applyFont="1" applyFill="1" applyBorder="1" applyAlignment="1" applyProtection="1">
      <alignment horizontal="center" vertical="center" wrapText="1"/>
    </xf>
    <xf numFmtId="0" fontId="45" fillId="0" borderId="12" xfId="0" applyNumberFormat="1" applyFont="1" applyFill="1" applyBorder="1" applyAlignment="1" applyProtection="1">
      <alignment horizontal="center"/>
    </xf>
    <xf numFmtId="0" fontId="46" fillId="0" borderId="14" xfId="0" applyFont="1" applyBorder="1" applyAlignment="1" applyProtection="1"/>
    <xf numFmtId="0" fontId="46" fillId="0" borderId="15" xfId="0" applyFont="1" applyBorder="1" applyAlignment="1" applyProtection="1"/>
    <xf numFmtId="0" fontId="46" fillId="0" borderId="10" xfId="0" applyFont="1" applyBorder="1" applyAlignment="1" applyProtection="1"/>
    <xf numFmtId="0" fontId="46" fillId="0" borderId="11" xfId="0" applyFont="1" applyBorder="1" applyAlignment="1" applyProtection="1">
      <alignment horizontal="center" vertical="center"/>
    </xf>
    <xf numFmtId="0" fontId="46" fillId="0" borderId="46" xfId="0" applyFont="1" applyFill="1" applyBorder="1" applyAlignment="1" applyProtection="1">
      <alignment horizontal="center" vertical="center" wrapText="1"/>
    </xf>
    <xf numFmtId="0" fontId="46" fillId="0" borderId="20" xfId="0" applyFont="1" applyFill="1" applyBorder="1" applyAlignment="1" applyProtection="1">
      <alignment horizontal="center" vertical="center"/>
    </xf>
    <xf numFmtId="168" fontId="46" fillId="0" borderId="20" xfId="0" applyNumberFormat="1" applyFont="1" applyFill="1" applyBorder="1" applyAlignment="1" applyProtection="1">
      <alignment horizontal="center" vertical="center"/>
    </xf>
    <xf numFmtId="164" fontId="46" fillId="0" borderId="20" xfId="0" applyNumberFormat="1" applyFont="1" applyFill="1" applyBorder="1" applyAlignment="1" applyProtection="1">
      <alignment horizontal="center" vertical="center"/>
    </xf>
    <xf numFmtId="169" fontId="46" fillId="0" borderId="60" xfId="0" applyNumberFormat="1" applyFont="1" applyFill="1" applyBorder="1" applyAlignment="1" applyProtection="1">
      <alignment horizontal="center" vertical="center"/>
    </xf>
    <xf numFmtId="0" fontId="46" fillId="0" borderId="47" xfId="0" applyFont="1" applyFill="1" applyBorder="1" applyAlignment="1" applyProtection="1">
      <alignment horizontal="center" vertical="center"/>
    </xf>
    <xf numFmtId="0" fontId="46" fillId="0" borderId="44" xfId="0" applyFont="1" applyFill="1" applyBorder="1" applyAlignment="1" applyProtection="1">
      <alignment horizontal="center" vertical="center" wrapText="1"/>
    </xf>
    <xf numFmtId="0" fontId="46" fillId="0" borderId="1" xfId="0" applyFont="1" applyFill="1" applyBorder="1" applyAlignment="1" applyProtection="1">
      <alignment horizontal="center" vertical="center"/>
    </xf>
    <xf numFmtId="168" fontId="46" fillId="0" borderId="1" xfId="0" applyNumberFormat="1" applyFont="1" applyFill="1" applyBorder="1" applyAlignment="1" applyProtection="1">
      <alignment horizontal="center" vertical="center"/>
    </xf>
    <xf numFmtId="165" fontId="46" fillId="0" borderId="1" xfId="0" applyNumberFormat="1" applyFont="1" applyFill="1" applyBorder="1" applyAlignment="1" applyProtection="1">
      <alignment horizontal="center" vertical="center"/>
    </xf>
    <xf numFmtId="2" fontId="46" fillId="0" borderId="1" xfId="0" applyNumberFormat="1" applyFont="1" applyFill="1" applyBorder="1" applyAlignment="1" applyProtection="1">
      <alignment horizontal="center" vertical="center"/>
    </xf>
    <xf numFmtId="0" fontId="46" fillId="0" borderId="2" xfId="0" applyFont="1" applyFill="1" applyBorder="1" applyAlignment="1" applyProtection="1">
      <alignment horizontal="center" vertical="center"/>
    </xf>
    <xf numFmtId="169" fontId="46" fillId="0" borderId="1" xfId="0" applyNumberFormat="1" applyFont="1" applyFill="1" applyBorder="1" applyAlignment="1" applyProtection="1">
      <alignment horizontal="center" vertical="center"/>
    </xf>
    <xf numFmtId="171" fontId="46" fillId="0" borderId="1" xfId="0" applyNumberFormat="1" applyFont="1" applyFill="1" applyBorder="1" applyAlignment="1" applyProtection="1">
      <alignment horizontal="center" vertical="center"/>
    </xf>
    <xf numFmtId="0" fontId="46" fillId="0" borderId="48" xfId="0" applyFont="1" applyFill="1" applyBorder="1" applyAlignment="1" applyProtection="1">
      <alignment horizontal="center" vertical="center" wrapText="1"/>
    </xf>
    <xf numFmtId="0" fontId="46" fillId="0" borderId="33" xfId="0" applyFont="1" applyFill="1" applyBorder="1" applyAlignment="1" applyProtection="1">
      <alignment horizontal="center" vertical="center"/>
    </xf>
    <xf numFmtId="168" fontId="46" fillId="0" borderId="33" xfId="0" applyNumberFormat="1" applyFont="1" applyFill="1" applyBorder="1" applyAlignment="1" applyProtection="1">
      <alignment horizontal="center" vertical="center"/>
    </xf>
    <xf numFmtId="169" fontId="46" fillId="0" borderId="33" xfId="0" applyNumberFormat="1" applyFont="1" applyFill="1" applyBorder="1" applyAlignment="1" applyProtection="1">
      <alignment horizontal="center" vertical="center"/>
    </xf>
    <xf numFmtId="0" fontId="46" fillId="0" borderId="26" xfId="0" applyFont="1" applyFill="1" applyBorder="1" applyAlignment="1" applyProtection="1">
      <alignment horizontal="center" vertical="center"/>
    </xf>
    <xf numFmtId="0" fontId="46" fillId="0" borderId="4" xfId="0" applyFont="1" applyFill="1" applyBorder="1" applyAlignment="1" applyProtection="1">
      <alignment horizontal="center" vertical="center" wrapText="1"/>
    </xf>
    <xf numFmtId="0" fontId="46" fillId="0" borderId="5" xfId="0" applyFont="1" applyFill="1" applyBorder="1" applyAlignment="1" applyProtection="1">
      <alignment horizontal="center" vertical="center"/>
    </xf>
    <xf numFmtId="168" fontId="46" fillId="0" borderId="5" xfId="0" applyNumberFormat="1" applyFont="1" applyFill="1" applyBorder="1" applyAlignment="1" applyProtection="1">
      <alignment horizontal="center" vertical="center"/>
    </xf>
    <xf numFmtId="166" fontId="46" fillId="0" borderId="5" xfId="0" applyNumberFormat="1" applyFont="1" applyFill="1" applyBorder="1" applyAlignment="1" applyProtection="1">
      <alignment horizontal="center" vertical="center"/>
    </xf>
    <xf numFmtId="164" fontId="46" fillId="0" borderId="5" xfId="0" applyNumberFormat="1" applyFont="1" applyFill="1" applyBorder="1" applyAlignment="1" applyProtection="1">
      <alignment horizontal="center" vertical="center"/>
    </xf>
    <xf numFmtId="169" fontId="46" fillId="0" borderId="5" xfId="0" applyNumberFormat="1" applyFont="1" applyFill="1" applyBorder="1" applyAlignment="1" applyProtection="1">
      <alignment horizontal="center" vertical="center"/>
    </xf>
    <xf numFmtId="0" fontId="46" fillId="0" borderId="42" xfId="0" applyFont="1" applyFill="1" applyBorder="1" applyAlignment="1" applyProtection="1">
      <alignment horizontal="center" vertical="center"/>
    </xf>
    <xf numFmtId="0" fontId="46" fillId="2" borderId="1" xfId="0" applyFont="1" applyFill="1" applyBorder="1" applyAlignment="1" applyProtection="1">
      <alignment horizontal="center" vertical="center"/>
    </xf>
    <xf numFmtId="166" fontId="46" fillId="0" borderId="1" xfId="0" applyNumberFormat="1" applyFont="1" applyFill="1" applyBorder="1" applyAlignment="1" applyProtection="1">
      <alignment horizontal="center" vertical="center"/>
    </xf>
    <xf numFmtId="0" fontId="46" fillId="0" borderId="45" xfId="0" applyFont="1" applyFill="1" applyBorder="1" applyAlignment="1" applyProtection="1">
      <alignment horizontal="center" vertical="center"/>
    </xf>
    <xf numFmtId="164" fontId="46" fillId="0" borderId="1" xfId="0" applyNumberFormat="1" applyFont="1" applyFill="1" applyBorder="1" applyAlignment="1" applyProtection="1">
      <alignment horizontal="center" vertical="center"/>
    </xf>
    <xf numFmtId="0" fontId="46" fillId="0" borderId="7" xfId="0" applyFont="1" applyFill="1" applyBorder="1" applyAlignment="1" applyProtection="1">
      <alignment horizontal="center" vertical="center" wrapText="1"/>
    </xf>
    <xf numFmtId="0" fontId="46" fillId="0" borderId="8" xfId="0" applyFont="1" applyFill="1" applyBorder="1" applyAlignment="1" applyProtection="1">
      <alignment horizontal="center" vertical="center"/>
    </xf>
    <xf numFmtId="168" fontId="46" fillId="0" borderId="8" xfId="0" applyNumberFormat="1" applyFont="1" applyFill="1" applyBorder="1" applyAlignment="1" applyProtection="1">
      <alignment horizontal="center" vertical="center"/>
    </xf>
    <xf numFmtId="169" fontId="46" fillId="0" borderId="8" xfId="0" applyNumberFormat="1" applyFont="1" applyFill="1" applyBorder="1" applyAlignment="1" applyProtection="1">
      <alignment horizontal="center" vertical="center"/>
    </xf>
    <xf numFmtId="171" fontId="46" fillId="0" borderId="8" xfId="0" applyNumberFormat="1" applyFont="1" applyFill="1" applyBorder="1" applyAlignment="1" applyProtection="1">
      <alignment horizontal="center" vertical="center"/>
    </xf>
    <xf numFmtId="0" fontId="46" fillId="0" borderId="12" xfId="0" applyFont="1" applyFill="1" applyBorder="1" applyAlignment="1" applyProtection="1">
      <alignment horizontal="center" vertical="center"/>
    </xf>
    <xf numFmtId="165" fontId="46" fillId="0" borderId="20" xfId="0" applyNumberFormat="1" applyFont="1" applyFill="1" applyBorder="1" applyAlignment="1" applyProtection="1">
      <alignment horizontal="center" vertical="center"/>
    </xf>
    <xf numFmtId="169" fontId="46" fillId="0" borderId="17" xfId="0" applyNumberFormat="1" applyFont="1" applyFill="1" applyBorder="1" applyAlignment="1" applyProtection="1">
      <alignment horizontal="center" vertical="center"/>
    </xf>
    <xf numFmtId="0" fontId="45" fillId="0" borderId="0" xfId="0" applyFont="1" applyBorder="1" applyProtection="1"/>
    <xf numFmtId="0" fontId="45" fillId="0" borderId="0" xfId="0" applyFont="1" applyFill="1" applyBorder="1" applyProtection="1"/>
    <xf numFmtId="0" fontId="45" fillId="0" borderId="0" xfId="0" applyFont="1" applyBorder="1" applyAlignment="1" applyProtection="1">
      <alignment horizontal="center"/>
    </xf>
    <xf numFmtId="169" fontId="46" fillId="0" borderId="27" xfId="0" applyNumberFormat="1" applyFont="1" applyFill="1" applyBorder="1" applyAlignment="1" applyProtection="1">
      <alignment horizontal="center" vertical="center"/>
    </xf>
    <xf numFmtId="171" fontId="46" fillId="0" borderId="33" xfId="0" applyNumberFormat="1" applyFont="1" applyFill="1" applyBorder="1" applyAlignment="1" applyProtection="1">
      <alignment horizontal="center" vertical="center"/>
    </xf>
    <xf numFmtId="169" fontId="46" fillId="0" borderId="31" xfId="0" applyNumberFormat="1" applyFont="1" applyFill="1" applyBorder="1" applyAlignment="1" applyProtection="1">
      <alignment horizontal="center" vertical="center"/>
    </xf>
    <xf numFmtId="0" fontId="46" fillId="0" borderId="55" xfId="0" applyFont="1" applyFill="1" applyBorder="1" applyAlignment="1" applyProtection="1">
      <alignment horizontal="center" vertical="center"/>
    </xf>
    <xf numFmtId="0" fontId="45" fillId="0" borderId="37" xfId="0" applyFont="1" applyFill="1" applyBorder="1" applyAlignment="1" applyProtection="1">
      <alignment horizontal="center" vertical="center"/>
    </xf>
    <xf numFmtId="0" fontId="46" fillId="0" borderId="5" xfId="4" applyFont="1" applyFill="1" applyBorder="1" applyProtection="1">
      <alignment horizontal="center" vertical="center"/>
    </xf>
    <xf numFmtId="164" fontId="46" fillId="0" borderId="52" xfId="0" applyNumberFormat="1" applyFont="1" applyFill="1" applyBorder="1" applyAlignment="1" applyProtection="1">
      <alignment horizontal="center" vertical="center"/>
    </xf>
    <xf numFmtId="169" fontId="46" fillId="0" borderId="58" xfId="0" applyNumberFormat="1" applyFont="1" applyFill="1" applyBorder="1" applyAlignment="1" applyProtection="1">
      <alignment horizontal="center" vertical="center"/>
    </xf>
    <xf numFmtId="0" fontId="46" fillId="0" borderId="53" xfId="0" applyFont="1" applyFill="1" applyBorder="1" applyAlignment="1" applyProtection="1">
      <alignment horizontal="center" vertical="center"/>
    </xf>
    <xf numFmtId="0" fontId="46" fillId="0" borderId="17" xfId="0" applyFont="1" applyFill="1" applyBorder="1" applyAlignment="1" applyProtection="1">
      <alignment horizontal="center" vertical="center"/>
    </xf>
    <xf numFmtId="169" fontId="46" fillId="0" borderId="2" xfId="0" applyNumberFormat="1" applyFont="1" applyFill="1" applyBorder="1" applyAlignment="1" applyProtection="1">
      <alignment horizontal="center" vertical="center"/>
    </xf>
    <xf numFmtId="0" fontId="46" fillId="0" borderId="40" xfId="0" applyFont="1" applyFill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 textRotation="90"/>
    </xf>
    <xf numFmtId="0" fontId="45" fillId="0" borderId="1" xfId="0" applyFont="1" applyFill="1" applyBorder="1" applyAlignment="1" applyProtection="1">
      <alignment horizontal="center" vertical="center"/>
    </xf>
    <xf numFmtId="171" fontId="45" fillId="0" borderId="1" xfId="0" applyNumberFormat="1" applyFont="1" applyFill="1" applyBorder="1" applyAlignment="1" applyProtection="1">
      <alignment horizontal="center" vertical="center"/>
    </xf>
    <xf numFmtId="0" fontId="45" fillId="0" borderId="45" xfId="0" applyFont="1" applyFill="1" applyBorder="1" applyAlignment="1" applyProtection="1">
      <alignment horizontal="center" vertical="center"/>
    </xf>
    <xf numFmtId="0" fontId="45" fillId="0" borderId="0" xfId="0" applyFont="1" applyBorder="1" applyAlignment="1" applyProtection="1">
      <alignment horizontal="center" vertical="center"/>
    </xf>
    <xf numFmtId="175" fontId="45" fillId="0" borderId="44" xfId="0" applyNumberFormat="1" applyFont="1" applyFill="1" applyBorder="1" applyAlignment="1" applyProtection="1">
      <alignment horizontal="center" vertical="center"/>
    </xf>
    <xf numFmtId="0" fontId="45" fillId="0" borderId="5" xfId="0" applyFont="1" applyFill="1" applyBorder="1" applyAlignment="1" applyProtection="1">
      <alignment horizontal="center" vertical="center"/>
    </xf>
    <xf numFmtId="175" fontId="45" fillId="2" borderId="5" xfId="0" applyNumberFormat="1" applyFont="1" applyFill="1" applyBorder="1" applyAlignment="1" applyProtection="1">
      <alignment horizontal="center" vertical="center"/>
    </xf>
    <xf numFmtId="0" fontId="45" fillId="0" borderId="44" xfId="0" applyFont="1" applyFill="1" applyBorder="1" applyAlignment="1" applyProtection="1">
      <alignment horizontal="center" vertical="center"/>
    </xf>
    <xf numFmtId="0" fontId="45" fillId="0" borderId="7" xfId="0" applyFont="1" applyFill="1" applyBorder="1" applyAlignment="1" applyProtection="1">
      <alignment horizontal="center" vertical="center"/>
    </xf>
    <xf numFmtId="171" fontId="45" fillId="0" borderId="1" xfId="0" applyNumberFormat="1" applyFont="1" applyBorder="1" applyAlignment="1" applyProtection="1">
      <alignment horizontal="center" vertical="center"/>
    </xf>
    <xf numFmtId="0" fontId="45" fillId="0" borderId="1" xfId="0" applyFont="1" applyBorder="1" applyAlignment="1" applyProtection="1">
      <alignment horizontal="center" vertical="center"/>
    </xf>
    <xf numFmtId="0" fontId="45" fillId="0" borderId="45" xfId="0" applyFont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vertical="center"/>
    </xf>
    <xf numFmtId="0" fontId="45" fillId="0" borderId="8" xfId="0" applyFont="1" applyBorder="1" applyAlignment="1" applyProtection="1">
      <alignment horizontal="center" vertical="center"/>
    </xf>
    <xf numFmtId="0" fontId="45" fillId="0" borderId="12" xfId="0" applyFont="1" applyBorder="1" applyAlignment="1" applyProtection="1">
      <alignment horizontal="center" vertical="center"/>
    </xf>
    <xf numFmtId="2" fontId="45" fillId="0" borderId="1" xfId="0" applyNumberFormat="1" applyFont="1" applyFill="1" applyBorder="1" applyAlignment="1" applyProtection="1">
      <alignment vertical="center"/>
    </xf>
    <xf numFmtId="0" fontId="45" fillId="0" borderId="1" xfId="0" applyFont="1" applyFill="1" applyBorder="1" applyAlignment="1" applyProtection="1">
      <alignment vertical="center"/>
    </xf>
    <xf numFmtId="0" fontId="45" fillId="0" borderId="45" xfId="0" applyFont="1" applyFill="1" applyBorder="1" applyAlignment="1" applyProtection="1">
      <alignment vertical="center"/>
    </xf>
    <xf numFmtId="2" fontId="45" fillId="0" borderId="40" xfId="0" applyNumberFormat="1" applyFont="1" applyFill="1" applyBorder="1" applyAlignment="1" applyProtection="1">
      <alignment vertical="center"/>
    </xf>
    <xf numFmtId="0" fontId="45" fillId="0" borderId="13" xfId="0" applyFont="1" applyFill="1" applyBorder="1" applyAlignment="1" applyProtection="1">
      <alignment vertical="center"/>
    </xf>
    <xf numFmtId="0" fontId="45" fillId="0" borderId="8" xfId="0" applyFont="1" applyFill="1" applyBorder="1" applyAlignment="1" applyProtection="1">
      <alignment vertical="center"/>
    </xf>
    <xf numFmtId="0" fontId="45" fillId="0" borderId="12" xfId="0" applyFont="1" applyFill="1" applyBorder="1" applyAlignment="1" applyProtection="1"/>
    <xf numFmtId="0" fontId="50" fillId="0" borderId="0" xfId="0" applyFont="1" applyProtection="1"/>
    <xf numFmtId="171" fontId="18" fillId="6" borderId="1" xfId="0" applyNumberFormat="1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vertical="center" wrapText="1"/>
    </xf>
    <xf numFmtId="0" fontId="51" fillId="0" borderId="0" xfId="0" applyFont="1"/>
    <xf numFmtId="14" fontId="8" fillId="0" borderId="0" xfId="0" applyNumberFormat="1" applyFont="1" applyBorder="1" applyAlignment="1">
      <alignment vertical="center" wrapText="1"/>
    </xf>
    <xf numFmtId="0" fontId="52" fillId="0" borderId="0" xfId="0" applyFont="1" applyBorder="1" applyAlignment="1">
      <alignment horizontal="justify" vertical="justify" wrapText="1" readingOrder="1"/>
    </xf>
    <xf numFmtId="0" fontId="45" fillId="6" borderId="4" xfId="0" applyFont="1" applyFill="1" applyBorder="1" applyAlignment="1" applyProtection="1">
      <alignment horizontal="center" vertical="center"/>
    </xf>
    <xf numFmtId="0" fontId="46" fillId="0" borderId="5" xfId="0" applyFont="1" applyFill="1" applyBorder="1" applyAlignment="1" applyProtection="1">
      <alignment horizontal="center" vertical="center"/>
    </xf>
    <xf numFmtId="0" fontId="46" fillId="0" borderId="1" xfId="0" applyFont="1" applyFill="1" applyBorder="1" applyAlignment="1" applyProtection="1">
      <alignment horizontal="center" vertical="center"/>
    </xf>
    <xf numFmtId="0" fontId="46" fillId="0" borderId="8" xfId="0" applyFont="1" applyFill="1" applyBorder="1" applyAlignment="1" applyProtection="1">
      <alignment horizontal="center" vertical="center"/>
    </xf>
    <xf numFmtId="0" fontId="46" fillId="0" borderId="27" xfId="0" applyFont="1" applyFill="1" applyBorder="1" applyAlignment="1" applyProtection="1">
      <alignment horizontal="center" vertical="center"/>
    </xf>
    <xf numFmtId="3" fontId="45" fillId="0" borderId="0" xfId="0" applyNumberFormat="1" applyFont="1" applyFill="1" applyBorder="1" applyAlignment="1" applyProtection="1">
      <alignment horizontal="center" vertical="center" wrapText="1"/>
    </xf>
    <xf numFmtId="3" fontId="45" fillId="19" borderId="4" xfId="0" applyNumberFormat="1" applyFont="1" applyFill="1" applyBorder="1" applyAlignment="1" applyProtection="1">
      <alignment horizontal="center" vertical="center" wrapText="1"/>
    </xf>
    <xf numFmtId="175" fontId="45" fillId="0" borderId="7" xfId="0" applyNumberFormat="1" applyFont="1" applyFill="1" applyBorder="1" applyAlignment="1" applyProtection="1">
      <alignment horizontal="center" vertical="center"/>
    </xf>
    <xf numFmtId="171" fontId="45" fillId="0" borderId="8" xfId="0" applyNumberFormat="1" applyFont="1" applyBorder="1" applyAlignment="1" applyProtection="1">
      <alignment horizontal="center" vertical="center"/>
    </xf>
    <xf numFmtId="169" fontId="20" fillId="9" borderId="20" xfId="0" applyNumberFormat="1" applyFont="1" applyFill="1" applyBorder="1" applyAlignment="1" applyProtection="1">
      <alignment horizontal="center" vertical="center"/>
      <protection hidden="1"/>
    </xf>
    <xf numFmtId="2" fontId="29" fillId="6" borderId="20" xfId="0" applyNumberFormat="1" applyFont="1" applyFill="1" applyBorder="1" applyAlignment="1" applyProtection="1">
      <alignment horizontal="center" vertical="center" wrapText="1"/>
      <protection hidden="1"/>
    </xf>
    <xf numFmtId="165" fontId="18" fillId="9" borderId="20" xfId="0" applyNumberFormat="1" applyFont="1" applyFill="1" applyBorder="1" applyAlignment="1" applyProtection="1">
      <alignment horizontal="center" vertical="center"/>
      <protection hidden="1"/>
    </xf>
    <xf numFmtId="2" fontId="37" fillId="6" borderId="20" xfId="0" applyNumberFormat="1" applyFont="1" applyFill="1" applyBorder="1" applyAlignment="1" applyProtection="1">
      <alignment horizontal="center" vertical="center" wrapText="1"/>
      <protection hidden="1"/>
    </xf>
    <xf numFmtId="174" fontId="18" fillId="17" borderId="20" xfId="0" applyNumberFormat="1" applyFont="1" applyFill="1" applyBorder="1" applyAlignment="1" applyProtection="1">
      <alignment horizontal="centerContinuous" vertical="center" wrapText="1"/>
      <protection hidden="1"/>
    </xf>
    <xf numFmtId="2" fontId="24" fillId="6" borderId="18" xfId="0" applyNumberFormat="1" applyFont="1" applyFill="1" applyBorder="1" applyAlignment="1" applyProtection="1">
      <alignment horizontal="centerContinuous" vertical="center"/>
      <protection hidden="1"/>
    </xf>
    <xf numFmtId="0" fontId="4" fillId="18" borderId="1" xfId="0" applyFont="1" applyFill="1" applyBorder="1" applyAlignment="1" applyProtection="1">
      <alignment horizontal="left" vertical="center" wrapText="1"/>
      <protection hidden="1"/>
    </xf>
    <xf numFmtId="0" fontId="54" fillId="18" borderId="1" xfId="0" applyFont="1" applyFill="1" applyBorder="1" applyAlignment="1" applyProtection="1">
      <alignment horizontal="left" vertical="center" wrapText="1"/>
      <protection hidden="1"/>
    </xf>
    <xf numFmtId="2" fontId="5" fillId="14" borderId="1" xfId="3" applyBorder="1" applyAlignment="1" applyProtection="1">
      <alignment horizontal="center" vertical="center"/>
      <protection locked="0" hidden="1"/>
    </xf>
    <xf numFmtId="0" fontId="54" fillId="18" borderId="1" xfId="0" applyFont="1" applyFill="1" applyBorder="1" applyAlignment="1" applyProtection="1">
      <alignment horizontal="center" vertical="center" wrapText="1"/>
      <protection hidden="1"/>
    </xf>
    <xf numFmtId="0" fontId="4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46" fillId="0" borderId="5" xfId="0" applyFont="1" applyBorder="1" applyAlignment="1" applyProtection="1">
      <alignment horizontal="center" vertical="center" wrapText="1"/>
    </xf>
    <xf numFmtId="0" fontId="46" fillId="0" borderId="20" xfId="0" applyFont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7" fillId="0" borderId="0" xfId="0" applyFont="1" applyBorder="1" applyAlignment="1" applyProtection="1">
      <alignment horizontal="center" vertical="center"/>
    </xf>
    <xf numFmtId="0" fontId="46" fillId="0" borderId="22" xfId="0" applyFont="1" applyBorder="1" applyProtection="1"/>
    <xf numFmtId="0" fontId="46" fillId="0" borderId="24" xfId="0" applyFont="1" applyBorder="1" applyProtection="1"/>
    <xf numFmtId="0" fontId="47" fillId="0" borderId="24" xfId="0" applyFont="1" applyBorder="1" applyAlignment="1" applyProtection="1">
      <alignment horizontal="center" vertical="center"/>
    </xf>
    <xf numFmtId="3" fontId="45" fillId="19" borderId="46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5" fillId="6" borderId="7" xfId="0" applyFont="1" applyFill="1" applyBorder="1" applyAlignment="1" applyProtection="1">
      <alignment vertical="center"/>
    </xf>
    <xf numFmtId="0" fontId="28" fillId="6" borderId="58" xfId="0" applyFont="1" applyFill="1" applyBorder="1" applyAlignment="1" applyProtection="1">
      <alignment vertical="center"/>
    </xf>
    <xf numFmtId="0" fontId="28" fillId="6" borderId="43" xfId="0" applyFont="1" applyFill="1" applyBorder="1" applyAlignment="1" applyProtection="1">
      <alignment vertical="center"/>
    </xf>
    <xf numFmtId="0" fontId="28" fillId="6" borderId="6" xfId="0" applyFont="1" applyFill="1" applyBorder="1" applyAlignment="1" applyProtection="1">
      <alignment vertical="center"/>
    </xf>
    <xf numFmtId="0" fontId="47" fillId="0" borderId="32" xfId="0" applyFont="1" applyBorder="1" applyAlignment="1" applyProtection="1">
      <alignment vertical="center" textRotation="90"/>
    </xf>
    <xf numFmtId="0" fontId="46" fillId="0" borderId="32" xfId="0" applyFont="1" applyBorder="1" applyAlignment="1" applyProtection="1"/>
    <xf numFmtId="0" fontId="46" fillId="0" borderId="32" xfId="0" applyFont="1" applyBorder="1" applyProtection="1"/>
    <xf numFmtId="0" fontId="46" fillId="0" borderId="15" xfId="0" applyFont="1" applyBorder="1" applyProtection="1"/>
    <xf numFmtId="0" fontId="46" fillId="0" borderId="15" xfId="0" applyFont="1" applyBorder="1" applyAlignment="1" applyProtection="1">
      <alignment horizontal="center" vertical="center"/>
    </xf>
    <xf numFmtId="0" fontId="46" fillId="0" borderId="16" xfId="0" applyFont="1" applyBorder="1" applyAlignment="1" applyProtection="1">
      <alignment horizontal="center" vertical="center"/>
    </xf>
    <xf numFmtId="0" fontId="47" fillId="0" borderId="43" xfId="0" applyFont="1" applyBorder="1" applyAlignment="1" applyProtection="1">
      <alignment horizontal="center" vertical="center"/>
    </xf>
    <xf numFmtId="0" fontId="45" fillId="0" borderId="43" xfId="0" applyFont="1" applyFill="1" applyBorder="1" applyAlignment="1" applyProtection="1">
      <alignment horizontal="center" vertical="center"/>
    </xf>
    <xf numFmtId="0" fontId="46" fillId="0" borderId="43" xfId="0" applyFont="1" applyFill="1" applyBorder="1" applyAlignment="1" applyProtection="1">
      <alignment horizontal="center" vertical="center"/>
    </xf>
    <xf numFmtId="3" fontId="45" fillId="0" borderId="43" xfId="0" applyNumberFormat="1" applyFont="1" applyFill="1" applyBorder="1" applyAlignment="1" applyProtection="1">
      <alignment horizontal="center" vertical="center" wrapText="1"/>
    </xf>
    <xf numFmtId="171" fontId="45" fillId="0" borderId="43" xfId="0" applyNumberFormat="1" applyFont="1" applyFill="1" applyBorder="1" applyAlignment="1" applyProtection="1">
      <alignment horizontal="center" vertical="center"/>
    </xf>
    <xf numFmtId="168" fontId="45" fillId="0" borderId="43" xfId="0" applyNumberFormat="1" applyFont="1" applyFill="1" applyBorder="1" applyAlignment="1" applyProtection="1">
      <alignment horizontal="center" vertical="center"/>
    </xf>
    <xf numFmtId="178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</xf>
    <xf numFmtId="168" fontId="45" fillId="0" borderId="0" xfId="0" applyNumberFormat="1" applyFont="1" applyFill="1" applyBorder="1" applyAlignment="1" applyProtection="1">
      <alignment horizontal="center" vertical="center"/>
    </xf>
    <xf numFmtId="14" fontId="45" fillId="0" borderId="0" xfId="0" applyNumberFormat="1" applyFont="1" applyFill="1" applyBorder="1" applyAlignment="1" applyProtection="1">
      <alignment horizontal="center" vertical="center" wrapText="1"/>
    </xf>
    <xf numFmtId="0" fontId="46" fillId="0" borderId="14" xfId="0" applyFont="1" applyBorder="1" applyProtection="1"/>
    <xf numFmtId="171" fontId="46" fillId="0" borderId="1" xfId="0" applyNumberFormat="1" applyFont="1" applyBorder="1" applyAlignment="1" applyProtection="1">
      <alignment horizontal="center" vertical="center" wrapText="1"/>
    </xf>
    <xf numFmtId="0" fontId="45" fillId="20" borderId="5" xfId="0" applyFont="1" applyFill="1" applyBorder="1" applyAlignment="1" applyProtection="1">
      <alignment horizontal="center" vertical="center"/>
    </xf>
    <xf numFmtId="0" fontId="45" fillId="20" borderId="1" xfId="0" applyFont="1" applyFill="1" applyBorder="1" applyAlignment="1" applyProtection="1">
      <alignment horizontal="center" vertical="center"/>
    </xf>
    <xf numFmtId="171" fontId="45" fillId="20" borderId="1" xfId="0" applyNumberFormat="1" applyFont="1" applyFill="1" applyBorder="1" applyAlignment="1" applyProtection="1">
      <alignment horizontal="center" vertical="center"/>
    </xf>
    <xf numFmtId="2" fontId="45" fillId="20" borderId="1" xfId="0" applyNumberFormat="1" applyFont="1" applyFill="1" applyBorder="1" applyAlignment="1" applyProtection="1">
      <alignment horizontal="center" vertical="center"/>
    </xf>
    <xf numFmtId="0" fontId="45" fillId="20" borderId="8" xfId="0" applyFont="1" applyFill="1" applyBorder="1" applyAlignment="1" applyProtection="1">
      <alignment horizontal="center" vertical="center"/>
    </xf>
    <xf numFmtId="0" fontId="45" fillId="20" borderId="5" xfId="0" applyFont="1" applyFill="1" applyBorder="1" applyAlignment="1" applyProtection="1">
      <alignment horizontal="center"/>
    </xf>
    <xf numFmtId="171" fontId="45" fillId="20" borderId="5" xfId="0" applyNumberFormat="1" applyFont="1" applyFill="1" applyBorder="1" applyAlignment="1" applyProtection="1">
      <alignment horizontal="center" vertical="center"/>
    </xf>
    <xf numFmtId="0" fontId="45" fillId="20" borderId="20" xfId="0" applyFont="1" applyFill="1" applyBorder="1" applyAlignment="1" applyProtection="1">
      <alignment horizontal="center" vertical="center"/>
    </xf>
    <xf numFmtId="171" fontId="45" fillId="20" borderId="20" xfId="0" applyNumberFormat="1" applyFont="1" applyFill="1" applyBorder="1" applyAlignment="1" applyProtection="1">
      <alignment horizontal="center" vertical="center"/>
    </xf>
    <xf numFmtId="171" fontId="45" fillId="20" borderId="1" xfId="0" applyNumberFormat="1" applyFont="1" applyFill="1" applyBorder="1" applyAlignment="1" applyProtection="1">
      <alignment horizontal="center"/>
    </xf>
    <xf numFmtId="0" fontId="45" fillId="20" borderId="1" xfId="0" applyFont="1" applyFill="1" applyBorder="1" applyAlignment="1" applyProtection="1">
      <alignment horizontal="center"/>
    </xf>
    <xf numFmtId="171" fontId="45" fillId="20" borderId="8" xfId="0" applyNumberFormat="1" applyFont="1" applyFill="1" applyBorder="1" applyAlignment="1" applyProtection="1">
      <alignment horizontal="center" vertical="center"/>
    </xf>
    <xf numFmtId="178" fontId="45" fillId="20" borderId="1" xfId="0" applyNumberFormat="1" applyFont="1" applyFill="1" applyBorder="1" applyAlignment="1" applyProtection="1">
      <alignment horizontal="center" vertical="center" wrapText="1"/>
    </xf>
    <xf numFmtId="178" fontId="45" fillId="20" borderId="8" xfId="0" applyNumberFormat="1" applyFont="1" applyFill="1" applyBorder="1" applyAlignment="1" applyProtection="1">
      <alignment horizontal="center" vertical="center" wrapText="1"/>
    </xf>
    <xf numFmtId="0" fontId="46" fillId="0" borderId="56" xfId="0" applyFont="1" applyFill="1" applyBorder="1" applyAlignment="1" applyProtection="1">
      <alignment horizontal="center" vertical="center"/>
    </xf>
    <xf numFmtId="2" fontId="18" fillId="0" borderId="63" xfId="0" applyNumberFormat="1" applyFont="1" applyBorder="1" applyAlignment="1" applyProtection="1">
      <alignment vertical="center"/>
      <protection hidden="1"/>
    </xf>
    <xf numFmtId="0" fontId="46" fillId="0" borderId="1" xfId="0" applyFont="1" applyBorder="1" applyProtection="1"/>
    <xf numFmtId="0" fontId="46" fillId="0" borderId="20" xfId="0" applyFont="1" applyBorder="1" applyProtection="1"/>
    <xf numFmtId="0" fontId="46" fillId="0" borderId="8" xfId="0" applyFont="1" applyBorder="1" applyProtection="1"/>
    <xf numFmtId="1" fontId="18" fillId="9" borderId="1" xfId="0" applyNumberFormat="1" applyFont="1" applyFill="1" applyBorder="1" applyAlignment="1" applyProtection="1">
      <alignment horizontal="center" vertical="center" wrapText="1"/>
      <protection hidden="1"/>
    </xf>
    <xf numFmtId="2" fontId="19" fillId="10" borderId="1" xfId="0" applyNumberFormat="1" applyFont="1" applyFill="1" applyBorder="1" applyAlignment="1" applyProtection="1">
      <alignment horizontal="center" vertical="center" wrapText="1"/>
      <protection hidden="1"/>
    </xf>
    <xf numFmtId="164" fontId="19" fillId="10" borderId="1" xfId="0" applyNumberFormat="1" applyFont="1" applyFill="1" applyBorder="1" applyAlignment="1" applyProtection="1">
      <alignment horizontal="center" vertical="center" wrapText="1"/>
      <protection hidden="1"/>
    </xf>
    <xf numFmtId="1" fontId="19" fillId="10" borderId="3" xfId="0" applyNumberFormat="1" applyFont="1" applyFill="1" applyBorder="1" applyAlignment="1" applyProtection="1">
      <alignment horizontal="center" vertical="center" wrapText="1"/>
      <protection hidden="1"/>
    </xf>
    <xf numFmtId="2" fontId="25" fillId="3" borderId="16" xfId="0" applyNumberFormat="1" applyFont="1" applyFill="1" applyBorder="1" applyAlignment="1" applyProtection="1">
      <alignment vertical="center"/>
      <protection hidden="1"/>
    </xf>
    <xf numFmtId="164" fontId="19" fillId="10" borderId="3" xfId="0" applyNumberFormat="1" applyFont="1" applyFill="1" applyBorder="1" applyAlignment="1" applyProtection="1">
      <alignment horizontal="center" vertical="center" wrapText="1"/>
      <protection hidden="1"/>
    </xf>
    <xf numFmtId="2" fontId="18" fillId="2" borderId="0" xfId="0" applyNumberFormat="1" applyFont="1" applyFill="1" applyBorder="1" applyAlignment="1" applyProtection="1">
      <alignment horizontal="center" vertical="center"/>
      <protection hidden="1"/>
    </xf>
    <xf numFmtId="2" fontId="24" fillId="6" borderId="14" xfId="0" applyNumberFormat="1" applyFont="1" applyFill="1" applyBorder="1" applyAlignment="1" applyProtection="1">
      <alignment horizontal="center" vertical="center"/>
      <protection hidden="1"/>
    </xf>
    <xf numFmtId="176" fontId="18" fillId="4" borderId="14" xfId="0" applyNumberFormat="1" applyFont="1" applyFill="1" applyBorder="1" applyAlignment="1" applyProtection="1">
      <alignment horizontal="center" vertical="center"/>
      <protection locked="0"/>
    </xf>
    <xf numFmtId="2" fontId="24" fillId="6" borderId="37" xfId="0" applyNumberFormat="1" applyFont="1" applyFill="1" applyBorder="1" applyAlignment="1" applyProtection="1">
      <alignment horizontal="center" vertical="center" wrapText="1"/>
      <protection hidden="1"/>
    </xf>
    <xf numFmtId="171" fontId="18" fillId="7" borderId="15" xfId="0" applyNumberFormat="1" applyFont="1" applyFill="1" applyBorder="1" applyAlignment="1" applyProtection="1">
      <alignment horizontal="center" vertical="center"/>
      <protection locked="0"/>
    </xf>
    <xf numFmtId="171" fontId="18" fillId="4" borderId="15" xfId="0" applyNumberFormat="1" applyFont="1" applyFill="1" applyBorder="1" applyAlignment="1" applyProtection="1">
      <alignment horizontal="center" vertical="center"/>
      <protection locked="0"/>
    </xf>
    <xf numFmtId="2" fontId="24" fillId="6" borderId="37" xfId="0" applyNumberFormat="1" applyFont="1" applyFill="1" applyBorder="1" applyAlignment="1" applyProtection="1">
      <alignment vertical="center" wrapText="1"/>
      <protection hidden="1"/>
    </xf>
    <xf numFmtId="171" fontId="18" fillId="7" borderId="37" xfId="0" applyNumberFormat="1" applyFont="1" applyFill="1" applyBorder="1" applyAlignment="1" applyProtection="1">
      <alignment horizontal="center" vertical="center" wrapText="1"/>
      <protection locked="0"/>
    </xf>
    <xf numFmtId="171" fontId="18" fillId="9" borderId="3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 wrapText="1"/>
    </xf>
    <xf numFmtId="2" fontId="18" fillId="9" borderId="14" xfId="0" applyNumberFormat="1" applyFont="1" applyFill="1" applyBorder="1" applyAlignment="1" applyProtection="1">
      <alignment horizontal="centerContinuous" vertical="center" wrapText="1"/>
      <protection hidden="1"/>
    </xf>
    <xf numFmtId="171" fontId="8" fillId="0" borderId="0" xfId="0" applyNumberFormat="1" applyFont="1" applyBorder="1" applyAlignment="1">
      <alignment horizontal="left" vertical="center" wrapText="1"/>
    </xf>
    <xf numFmtId="0" fontId="46" fillId="0" borderId="0" xfId="0" applyFont="1" applyBorder="1" applyAlignment="1" applyProtection="1">
      <alignment horizontal="center"/>
    </xf>
    <xf numFmtId="2" fontId="19" fillId="6" borderId="20" xfId="0" applyNumberFormat="1" applyFont="1" applyFill="1" applyBorder="1" applyAlignment="1" applyProtection="1">
      <alignment horizontal="center" vertical="center"/>
      <protection hidden="1"/>
    </xf>
    <xf numFmtId="0" fontId="46" fillId="0" borderId="37" xfId="0" applyFont="1" applyBorder="1" applyAlignment="1" applyProtection="1">
      <alignment horizontal="center"/>
    </xf>
    <xf numFmtId="171" fontId="25" fillId="9" borderId="37" xfId="0" applyNumberFormat="1" applyFont="1" applyFill="1" applyBorder="1" applyAlignment="1" applyProtection="1">
      <alignment horizontal="center" vertical="center"/>
      <protection hidden="1"/>
    </xf>
    <xf numFmtId="171" fontId="25" fillId="9" borderId="43" xfId="0" applyNumberFormat="1" applyFont="1" applyFill="1" applyBorder="1" applyAlignment="1" applyProtection="1">
      <alignment horizontal="center" vertical="center"/>
      <protection hidden="1"/>
    </xf>
    <xf numFmtId="1" fontId="25" fillId="9" borderId="20" xfId="0" applyNumberFormat="1" applyFont="1" applyFill="1" applyBorder="1" applyAlignment="1" applyProtection="1">
      <alignment horizontal="center"/>
      <protection hidden="1"/>
    </xf>
    <xf numFmtId="1" fontId="25" fillId="9" borderId="1" xfId="0" applyNumberFormat="1" applyFont="1" applyFill="1" applyBorder="1" applyAlignment="1" applyProtection="1">
      <alignment horizontal="center"/>
      <protection hidden="1"/>
    </xf>
    <xf numFmtId="2" fontId="25" fillId="2" borderId="0" xfId="0" applyNumberFormat="1" applyFont="1" applyFill="1" applyBorder="1" applyProtection="1">
      <protection hidden="1"/>
    </xf>
    <xf numFmtId="10" fontId="46" fillId="0" borderId="37" xfId="0" applyNumberFormat="1" applyFont="1" applyBorder="1" applyAlignment="1" applyProtection="1">
      <alignment horizontal="center"/>
    </xf>
    <xf numFmtId="0" fontId="46" fillId="21" borderId="0" xfId="0" applyFont="1" applyFill="1" applyBorder="1" applyAlignment="1" applyProtection="1">
      <alignment horizontal="center" vertical="center"/>
    </xf>
    <xf numFmtId="10" fontId="46" fillId="21" borderId="37" xfId="0" applyNumberFormat="1" applyFont="1" applyFill="1" applyBorder="1" applyAlignment="1" applyProtection="1">
      <alignment horizontal="center" vertical="center"/>
    </xf>
    <xf numFmtId="172" fontId="25" fillId="9" borderId="1" xfId="0" applyNumberFormat="1" applyFont="1" applyFill="1" applyBorder="1" applyAlignment="1" applyProtection="1">
      <alignment horizontal="center" vertical="center"/>
      <protection hidden="1"/>
    </xf>
    <xf numFmtId="1" fontId="25" fillId="9" borderId="1" xfId="0" applyNumberFormat="1" applyFont="1" applyFill="1" applyBorder="1" applyAlignment="1" applyProtection="1">
      <alignment horizontal="center" vertical="center"/>
      <protection hidden="1"/>
    </xf>
    <xf numFmtId="1" fontId="56" fillId="9" borderId="1" xfId="0" applyNumberFormat="1" applyFont="1" applyFill="1" applyBorder="1" applyAlignment="1" applyProtection="1">
      <alignment horizontal="center" vertical="center"/>
      <protection hidden="1"/>
    </xf>
    <xf numFmtId="2" fontId="25" fillId="0" borderId="20" xfId="0" applyNumberFormat="1" applyFont="1" applyFill="1" applyBorder="1" applyAlignment="1" applyProtection="1">
      <alignment horizontal="center" vertical="center"/>
      <protection hidden="1"/>
    </xf>
    <xf numFmtId="171" fontId="57" fillId="0" borderId="35" xfId="0" applyNumberFormat="1" applyFont="1" applyBorder="1" applyAlignment="1">
      <alignment horizontal="center" vertical="center" wrapText="1"/>
    </xf>
    <xf numFmtId="171" fontId="57" fillId="0" borderId="6" xfId="0" applyNumberFormat="1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164" fontId="50" fillId="0" borderId="20" xfId="0" applyNumberFormat="1" applyFont="1" applyBorder="1" applyAlignment="1">
      <alignment horizontal="center" vertical="center" wrapText="1"/>
    </xf>
    <xf numFmtId="2" fontId="50" fillId="0" borderId="20" xfId="0" applyNumberFormat="1" applyFont="1" applyBorder="1" applyAlignment="1">
      <alignment horizontal="center" vertical="center" wrapText="1"/>
    </xf>
    <xf numFmtId="2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5" fillId="0" borderId="34" xfId="0" applyFont="1" applyFill="1" applyBorder="1" applyAlignment="1" applyProtection="1">
      <alignment horizontal="center" vertical="center"/>
    </xf>
    <xf numFmtId="0" fontId="45" fillId="0" borderId="59" xfId="0" applyFont="1" applyFill="1" applyBorder="1" applyAlignment="1" applyProtection="1">
      <alignment horizontal="center" vertical="center"/>
    </xf>
    <xf numFmtId="0" fontId="45" fillId="0" borderId="35" xfId="0" applyFont="1" applyFill="1" applyBorder="1" applyAlignment="1" applyProtection="1">
      <alignment horizontal="center" vertical="center"/>
    </xf>
    <xf numFmtId="0" fontId="46" fillId="6" borderId="42" xfId="0" applyFont="1" applyFill="1" applyBorder="1" applyAlignment="1" applyProtection="1">
      <alignment horizontal="center" vertical="center"/>
    </xf>
    <xf numFmtId="0" fontId="46" fillId="6" borderId="49" xfId="0" applyFont="1" applyFill="1" applyBorder="1" applyAlignment="1" applyProtection="1">
      <alignment horizontal="center" vertical="center"/>
    </xf>
    <xf numFmtId="0" fontId="47" fillId="13" borderId="22" xfId="0" applyFont="1" applyFill="1" applyBorder="1" applyAlignment="1" applyProtection="1">
      <alignment horizontal="center" vertical="center" wrapText="1"/>
    </xf>
    <xf numFmtId="0" fontId="47" fillId="13" borderId="32" xfId="0" applyFont="1" applyFill="1" applyBorder="1" applyAlignment="1" applyProtection="1">
      <alignment horizontal="center" vertical="center" wrapText="1"/>
    </xf>
    <xf numFmtId="0" fontId="47" fillId="13" borderId="23" xfId="0" applyFont="1" applyFill="1" applyBorder="1" applyAlignment="1" applyProtection="1">
      <alignment horizontal="center" vertical="center" wrapText="1"/>
    </xf>
    <xf numFmtId="0" fontId="47" fillId="13" borderId="21" xfId="0" applyFont="1" applyFill="1" applyBorder="1" applyAlignment="1" applyProtection="1">
      <alignment horizontal="center" vertical="center" wrapText="1"/>
    </xf>
    <xf numFmtId="0" fontId="47" fillId="13" borderId="43" xfId="0" applyFont="1" applyFill="1" applyBorder="1" applyAlignment="1" applyProtection="1">
      <alignment horizontal="center" vertical="center" wrapText="1"/>
    </xf>
    <xf numFmtId="0" fontId="47" fillId="13" borderId="6" xfId="0" applyFont="1" applyFill="1" applyBorder="1" applyAlignment="1" applyProtection="1">
      <alignment horizontal="center" vertical="center" wrapText="1"/>
    </xf>
    <xf numFmtId="0" fontId="46" fillId="0" borderId="34" xfId="0" applyFont="1" applyFill="1" applyBorder="1" applyAlignment="1" applyProtection="1">
      <alignment horizontal="center" vertical="center" wrapText="1"/>
    </xf>
    <xf numFmtId="0" fontId="46" fillId="0" borderId="59" xfId="0" applyFont="1" applyFill="1" applyBorder="1" applyAlignment="1" applyProtection="1">
      <alignment horizontal="center" vertical="center" wrapText="1"/>
    </xf>
    <xf numFmtId="0" fontId="46" fillId="0" borderId="35" xfId="0" applyFont="1" applyFill="1" applyBorder="1" applyAlignment="1" applyProtection="1">
      <alignment horizontal="center" vertical="center" wrapText="1"/>
    </xf>
    <xf numFmtId="0" fontId="46" fillId="0" borderId="22" xfId="0" applyFont="1" applyFill="1" applyBorder="1" applyAlignment="1" applyProtection="1">
      <alignment horizontal="center" vertical="center" wrapText="1"/>
    </xf>
    <xf numFmtId="0" fontId="46" fillId="0" borderId="24" xfId="0" applyFont="1" applyFill="1" applyBorder="1" applyAlignment="1" applyProtection="1">
      <alignment horizontal="center" vertical="center" wrapText="1"/>
    </xf>
    <xf numFmtId="0" fontId="46" fillId="0" borderId="21" xfId="0" applyFont="1" applyFill="1" applyBorder="1" applyAlignment="1" applyProtection="1">
      <alignment horizontal="center" vertical="center" wrapText="1"/>
    </xf>
    <xf numFmtId="0" fontId="41" fillId="6" borderId="60" xfId="0" applyFont="1" applyFill="1" applyBorder="1" applyAlignment="1" applyProtection="1">
      <alignment horizontal="center" vertical="center" wrapText="1"/>
    </xf>
    <xf numFmtId="0" fontId="41" fillId="6" borderId="26" xfId="0" applyFont="1" applyFill="1" applyBorder="1" applyAlignment="1" applyProtection="1">
      <alignment horizontal="center" vertical="center" wrapText="1"/>
    </xf>
    <xf numFmtId="0" fontId="41" fillId="6" borderId="5" xfId="0" applyFont="1" applyFill="1" applyBorder="1" applyAlignment="1" applyProtection="1">
      <alignment horizontal="center" vertical="center" wrapText="1"/>
    </xf>
    <xf numFmtId="0" fontId="41" fillId="6" borderId="33" xfId="0" applyFont="1" applyFill="1" applyBorder="1" applyAlignment="1" applyProtection="1">
      <alignment horizontal="center" vertical="center" wrapText="1"/>
    </xf>
    <xf numFmtId="0" fontId="41" fillId="6" borderId="4" xfId="0" applyFont="1" applyFill="1" applyBorder="1" applyAlignment="1" applyProtection="1">
      <alignment horizontal="center" vertical="center"/>
    </xf>
    <xf numFmtId="0" fontId="41" fillId="6" borderId="48" xfId="0" applyFont="1" applyFill="1" applyBorder="1" applyAlignment="1" applyProtection="1">
      <alignment horizontal="center" vertical="center"/>
    </xf>
    <xf numFmtId="0" fontId="41" fillId="6" borderId="5" xfId="0" applyFont="1" applyFill="1" applyBorder="1" applyAlignment="1" applyProtection="1">
      <alignment horizontal="center" vertical="center"/>
    </xf>
    <xf numFmtId="0" fontId="41" fillId="6" borderId="33" xfId="0" applyFont="1" applyFill="1" applyBorder="1" applyAlignment="1" applyProtection="1">
      <alignment horizontal="center" vertical="center"/>
    </xf>
    <xf numFmtId="0" fontId="41" fillId="6" borderId="54" xfId="0" applyFont="1" applyFill="1" applyBorder="1" applyAlignment="1" applyProtection="1">
      <alignment horizontal="center" vertical="center" wrapText="1"/>
    </xf>
    <xf numFmtId="0" fontId="41" fillId="6" borderId="27" xfId="0" applyFont="1" applyFill="1" applyBorder="1" applyAlignment="1" applyProtection="1">
      <alignment horizontal="center" vertical="center" wrapText="1"/>
    </xf>
    <xf numFmtId="49" fontId="41" fillId="6" borderId="46" xfId="2" applyNumberFormat="1" applyFont="1" applyFill="1" applyBorder="1" applyAlignment="1" applyProtection="1">
      <alignment horizontal="center" vertical="center" wrapText="1"/>
    </xf>
    <xf numFmtId="49" fontId="41" fillId="6" borderId="48" xfId="2" applyNumberFormat="1" applyFont="1" applyFill="1" applyBorder="1" applyAlignment="1" applyProtection="1">
      <alignment horizontal="center" vertical="center" wrapText="1"/>
    </xf>
    <xf numFmtId="49" fontId="41" fillId="6" borderId="20" xfId="2" applyNumberFormat="1" applyFont="1" applyFill="1" applyBorder="1" applyAlignment="1" applyProtection="1">
      <alignment horizontal="center" vertical="center" wrapText="1"/>
    </xf>
    <xf numFmtId="49" fontId="41" fillId="6" borderId="33" xfId="2" applyNumberFormat="1" applyFont="1" applyFill="1" applyBorder="1" applyAlignment="1" applyProtection="1">
      <alignment horizontal="center" vertical="center" wrapText="1"/>
    </xf>
    <xf numFmtId="49" fontId="41" fillId="6" borderId="47" xfId="2" applyNumberFormat="1" applyFont="1" applyFill="1" applyBorder="1" applyAlignment="1" applyProtection="1">
      <alignment horizontal="center" vertical="center" wrapText="1"/>
    </xf>
    <xf numFmtId="49" fontId="41" fillId="6" borderId="49" xfId="2" applyNumberFormat="1" applyFont="1" applyFill="1" applyBorder="1" applyAlignment="1" applyProtection="1">
      <alignment horizontal="center" vertical="center" wrapText="1"/>
    </xf>
    <xf numFmtId="0" fontId="46" fillId="0" borderId="47" xfId="0" applyFont="1" applyBorder="1" applyAlignment="1" applyProtection="1">
      <alignment horizontal="center" vertical="center" wrapText="1"/>
    </xf>
    <xf numFmtId="0" fontId="46" fillId="0" borderId="45" xfId="0" applyFont="1" applyBorder="1" applyAlignment="1" applyProtection="1">
      <alignment horizontal="center" vertical="center" wrapText="1"/>
    </xf>
    <xf numFmtId="0" fontId="46" fillId="0" borderId="12" xfId="0" applyFont="1" applyBorder="1" applyAlignment="1" applyProtection="1">
      <alignment horizontal="center" vertical="center" wrapText="1"/>
    </xf>
    <xf numFmtId="0" fontId="46" fillId="20" borderId="54" xfId="0" applyFont="1" applyFill="1" applyBorder="1" applyAlignment="1" applyProtection="1">
      <alignment horizontal="center" vertical="center"/>
    </xf>
    <xf numFmtId="0" fontId="46" fillId="20" borderId="27" xfId="0" applyFont="1" applyFill="1" applyBorder="1" applyAlignment="1" applyProtection="1">
      <alignment horizontal="center" vertical="center"/>
    </xf>
    <xf numFmtId="0" fontId="46" fillId="20" borderId="52" xfId="0" applyFont="1" applyFill="1" applyBorder="1" applyAlignment="1" applyProtection="1">
      <alignment horizontal="center" vertical="center"/>
    </xf>
    <xf numFmtId="14" fontId="45" fillId="20" borderId="62" xfId="0" applyNumberFormat="1" applyFont="1" applyFill="1" applyBorder="1" applyAlignment="1" applyProtection="1">
      <alignment horizontal="center" vertical="center"/>
    </xf>
    <xf numFmtId="14" fontId="45" fillId="20" borderId="55" xfId="0" applyNumberFormat="1" applyFont="1" applyFill="1" applyBorder="1" applyAlignment="1" applyProtection="1">
      <alignment horizontal="center" vertical="center"/>
    </xf>
    <xf numFmtId="14" fontId="45" fillId="20" borderId="47" xfId="0" applyNumberFormat="1" applyFont="1" applyFill="1" applyBorder="1" applyAlignment="1" applyProtection="1">
      <alignment horizontal="center" vertical="center"/>
    </xf>
    <xf numFmtId="14" fontId="45" fillId="20" borderId="49" xfId="0" applyNumberFormat="1" applyFont="1" applyFill="1" applyBorder="1" applyAlignment="1" applyProtection="1">
      <alignment horizontal="center" vertical="center"/>
    </xf>
    <xf numFmtId="0" fontId="45" fillId="20" borderId="49" xfId="0" applyFont="1" applyFill="1" applyBorder="1" applyAlignment="1" applyProtection="1">
      <alignment horizontal="center" vertical="center"/>
    </xf>
    <xf numFmtId="0" fontId="45" fillId="20" borderId="55" xfId="0" applyFont="1" applyFill="1" applyBorder="1" applyAlignment="1" applyProtection="1">
      <alignment horizontal="center" vertical="center"/>
    </xf>
    <xf numFmtId="0" fontId="45" fillId="20" borderId="53" xfId="0" applyFont="1" applyFill="1" applyBorder="1" applyAlignment="1" applyProtection="1">
      <alignment horizontal="center" vertical="center"/>
    </xf>
    <xf numFmtId="168" fontId="45" fillId="20" borderId="54" xfId="0" applyNumberFormat="1" applyFont="1" applyFill="1" applyBorder="1" applyAlignment="1" applyProtection="1">
      <alignment horizontal="center" vertical="center"/>
    </xf>
    <xf numFmtId="168" fontId="45" fillId="20" borderId="27" xfId="0" applyNumberFormat="1" applyFont="1" applyFill="1" applyBorder="1" applyAlignment="1" applyProtection="1">
      <alignment horizontal="center" vertical="center"/>
    </xf>
    <xf numFmtId="168" fontId="45" fillId="20" borderId="20" xfId="0" applyNumberFormat="1" applyFont="1" applyFill="1" applyBorder="1" applyAlignment="1" applyProtection="1">
      <alignment horizontal="center" vertical="center"/>
    </xf>
    <xf numFmtId="0" fontId="47" fillId="13" borderId="4" xfId="0" applyFont="1" applyFill="1" applyBorder="1" applyAlignment="1" applyProtection="1">
      <alignment horizontal="center" vertical="center" wrapText="1"/>
    </xf>
    <xf numFmtId="0" fontId="47" fillId="13" borderId="5" xfId="0" applyFont="1" applyFill="1" applyBorder="1" applyAlignment="1" applyProtection="1">
      <alignment horizontal="center" vertical="center" wrapText="1"/>
    </xf>
    <xf numFmtId="0" fontId="47" fillId="13" borderId="42" xfId="0" applyFont="1" applyFill="1" applyBorder="1" applyAlignment="1" applyProtection="1">
      <alignment horizontal="center" vertical="center" wrapText="1"/>
    </xf>
    <xf numFmtId="0" fontId="47" fillId="13" borderId="48" xfId="0" applyFont="1" applyFill="1" applyBorder="1" applyAlignment="1" applyProtection="1">
      <alignment horizontal="center" vertical="center" wrapText="1"/>
    </xf>
    <xf numFmtId="0" fontId="47" fillId="13" borderId="33" xfId="0" applyFont="1" applyFill="1" applyBorder="1" applyAlignment="1" applyProtection="1">
      <alignment horizontal="center" vertical="center" wrapText="1"/>
    </xf>
    <xf numFmtId="0" fontId="47" fillId="13" borderId="49" xfId="0" applyFont="1" applyFill="1" applyBorder="1" applyAlignment="1" applyProtection="1">
      <alignment horizontal="center" vertical="center" wrapText="1"/>
    </xf>
    <xf numFmtId="49" fontId="41" fillId="6" borderId="4" xfId="0" applyNumberFormat="1" applyFont="1" applyFill="1" applyBorder="1" applyAlignment="1" applyProtection="1">
      <alignment horizontal="center" vertical="center"/>
    </xf>
    <xf numFmtId="49" fontId="41" fillId="6" borderId="7" xfId="0" applyNumberFormat="1" applyFont="1" applyFill="1" applyBorder="1" applyAlignment="1" applyProtection="1">
      <alignment horizontal="center" vertical="center"/>
    </xf>
    <xf numFmtId="49" fontId="41" fillId="6" borderId="5" xfId="0" applyNumberFormat="1" applyFont="1" applyFill="1" applyBorder="1" applyAlignment="1" applyProtection="1">
      <alignment horizontal="center" vertical="center" wrapText="1"/>
    </xf>
    <xf numFmtId="49" fontId="41" fillId="6" borderId="8" xfId="0" applyNumberFormat="1" applyFont="1" applyFill="1" applyBorder="1" applyAlignment="1" applyProtection="1">
      <alignment horizontal="center" vertical="center" wrapText="1"/>
    </xf>
    <xf numFmtId="49" fontId="19" fillId="6" borderId="54" xfId="2" applyNumberFormat="1" applyFont="1" applyFill="1" applyBorder="1" applyAlignment="1" applyProtection="1">
      <alignment horizontal="center" vertical="center"/>
    </xf>
    <xf numFmtId="49" fontId="19" fillId="6" borderId="52" xfId="2" applyNumberFormat="1" applyFont="1" applyFill="1" applyBorder="1" applyAlignment="1" applyProtection="1">
      <alignment horizontal="center" vertical="center"/>
    </xf>
    <xf numFmtId="49" fontId="28" fillId="6" borderId="5" xfId="0" applyNumberFormat="1" applyFont="1" applyFill="1" applyBorder="1" applyAlignment="1" applyProtection="1">
      <alignment horizontal="center" vertical="center" wrapText="1"/>
    </xf>
    <xf numFmtId="49" fontId="28" fillId="6" borderId="8" xfId="0" applyNumberFormat="1" applyFont="1" applyFill="1" applyBorder="1" applyAlignment="1" applyProtection="1">
      <alignment horizontal="center" vertical="center" wrapText="1"/>
    </xf>
    <xf numFmtId="49" fontId="41" fillId="6" borderId="5" xfId="2" applyNumberFormat="1" applyFont="1" applyFill="1" applyBorder="1" applyAlignment="1" applyProtection="1">
      <alignment horizontal="center" vertical="center" wrapText="1"/>
    </xf>
    <xf numFmtId="49" fontId="41" fillId="6" borderId="8" xfId="2" applyNumberFormat="1" applyFont="1" applyFill="1" applyBorder="1" applyAlignment="1" applyProtection="1">
      <alignment horizontal="center" vertical="center" wrapText="1"/>
    </xf>
    <xf numFmtId="49" fontId="41" fillId="6" borderId="42" xfId="0" applyNumberFormat="1" applyFont="1" applyFill="1" applyBorder="1" applyAlignment="1" applyProtection="1">
      <alignment horizontal="center" vertical="center" wrapText="1"/>
    </xf>
    <xf numFmtId="49" fontId="41" fillId="6" borderId="12" xfId="0" applyNumberFormat="1" applyFont="1" applyFill="1" applyBorder="1" applyAlignment="1" applyProtection="1">
      <alignment horizontal="center" vertical="center" wrapText="1"/>
    </xf>
    <xf numFmtId="0" fontId="41" fillId="20" borderId="22" xfId="0" applyFont="1" applyFill="1" applyBorder="1" applyAlignment="1" applyProtection="1">
      <alignment horizontal="center" vertical="center"/>
    </xf>
    <xf numFmtId="0" fontId="46" fillId="20" borderId="23" xfId="0" applyFont="1" applyFill="1" applyBorder="1" applyAlignment="1" applyProtection="1">
      <alignment horizontal="center" vertical="center"/>
    </xf>
    <xf numFmtId="0" fontId="46" fillId="20" borderId="24" xfId="0" applyFont="1" applyFill="1" applyBorder="1" applyAlignment="1" applyProtection="1">
      <alignment horizontal="center" vertical="center"/>
    </xf>
    <xf numFmtId="0" fontId="46" fillId="20" borderId="41" xfId="0" applyFont="1" applyFill="1" applyBorder="1" applyAlignment="1" applyProtection="1">
      <alignment horizontal="center" vertical="center"/>
    </xf>
    <xf numFmtId="0" fontId="46" fillId="20" borderId="21" xfId="0" applyFont="1" applyFill="1" applyBorder="1" applyAlignment="1" applyProtection="1">
      <alignment horizontal="center" vertical="center"/>
    </xf>
    <xf numFmtId="0" fontId="46" fillId="20" borderId="6" xfId="0" applyFont="1" applyFill="1" applyBorder="1" applyAlignment="1" applyProtection="1">
      <alignment horizontal="center" vertical="center"/>
    </xf>
    <xf numFmtId="0" fontId="28" fillId="6" borderId="20" xfId="0" applyFont="1" applyFill="1" applyBorder="1" applyAlignment="1" applyProtection="1">
      <alignment horizontal="center" vertical="center" wrapText="1"/>
    </xf>
    <xf numFmtId="0" fontId="28" fillId="6" borderId="33" xfId="0" applyFont="1" applyFill="1" applyBorder="1" applyAlignment="1" applyProtection="1">
      <alignment horizontal="center" vertical="center" wrapText="1"/>
    </xf>
    <xf numFmtId="0" fontId="28" fillId="6" borderId="47" xfId="0" applyFont="1" applyFill="1" applyBorder="1" applyAlignment="1" applyProtection="1">
      <alignment horizontal="center" vertical="center" wrapText="1"/>
    </xf>
    <xf numFmtId="0" fontId="28" fillId="6" borderId="49" xfId="0" applyFont="1" applyFill="1" applyBorder="1" applyAlignment="1" applyProtection="1">
      <alignment horizontal="center" vertical="center" wrapText="1"/>
    </xf>
    <xf numFmtId="0" fontId="46" fillId="6" borderId="59" xfId="0" applyFont="1" applyFill="1" applyBorder="1" applyAlignment="1" applyProtection="1">
      <alignment horizontal="center" vertical="center"/>
    </xf>
    <xf numFmtId="0" fontId="28" fillId="6" borderId="24" xfId="0" applyFont="1" applyFill="1" applyBorder="1" applyAlignment="1" applyProtection="1">
      <alignment horizontal="center" vertical="center" wrapText="1"/>
    </xf>
    <xf numFmtId="0" fontId="28" fillId="6" borderId="0" xfId="0" applyFont="1" applyFill="1" applyBorder="1" applyAlignment="1" applyProtection="1">
      <alignment horizontal="center" vertical="center" wrapText="1"/>
    </xf>
    <xf numFmtId="0" fontId="28" fillId="6" borderId="41" xfId="0" applyFont="1" applyFill="1" applyBorder="1" applyAlignment="1" applyProtection="1">
      <alignment horizontal="center" vertical="center" wrapText="1"/>
    </xf>
    <xf numFmtId="0" fontId="45" fillId="20" borderId="61" xfId="0" applyFont="1" applyFill="1" applyBorder="1" applyAlignment="1" applyProtection="1">
      <alignment horizontal="center" vertical="center" wrapText="1"/>
    </xf>
    <xf numFmtId="0" fontId="45" fillId="20" borderId="56" xfId="0" applyFont="1" applyFill="1" applyBorder="1" applyAlignment="1" applyProtection="1">
      <alignment horizontal="center" vertical="center" wrapText="1"/>
    </xf>
    <xf numFmtId="0" fontId="45" fillId="20" borderId="51" xfId="0" applyFont="1" applyFill="1" applyBorder="1" applyAlignment="1" applyProtection="1">
      <alignment horizontal="center" vertical="center" wrapText="1"/>
    </xf>
    <xf numFmtId="3" fontId="45" fillId="19" borderId="48" xfId="0" applyNumberFormat="1" applyFont="1" applyFill="1" applyBorder="1" applyAlignment="1" applyProtection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3" fontId="45" fillId="20" borderId="54" xfId="0" applyNumberFormat="1" applyFont="1" applyFill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7" fillId="20" borderId="22" xfId="0" applyFont="1" applyFill="1" applyBorder="1" applyAlignment="1" applyProtection="1">
      <alignment horizontal="center" vertical="center"/>
    </xf>
    <xf numFmtId="0" fontId="47" fillId="20" borderId="23" xfId="0" applyFont="1" applyFill="1" applyBorder="1" applyAlignment="1" applyProtection="1">
      <alignment horizontal="center" vertical="center"/>
    </xf>
    <xf numFmtId="0" fontId="47" fillId="20" borderId="24" xfId="0" applyFont="1" applyFill="1" applyBorder="1" applyAlignment="1" applyProtection="1">
      <alignment horizontal="center" vertical="center"/>
    </xf>
    <xf numFmtId="0" fontId="47" fillId="20" borderId="41" xfId="0" applyFont="1" applyFill="1" applyBorder="1" applyAlignment="1" applyProtection="1">
      <alignment horizontal="center" vertical="center"/>
    </xf>
    <xf numFmtId="0" fontId="47" fillId="20" borderId="21" xfId="0" applyFont="1" applyFill="1" applyBorder="1" applyAlignment="1" applyProtection="1">
      <alignment horizontal="center" vertical="center"/>
    </xf>
    <xf numFmtId="0" fontId="47" fillId="20" borderId="6" xfId="0" applyFont="1" applyFill="1" applyBorder="1" applyAlignment="1" applyProtection="1">
      <alignment horizontal="center" vertical="center"/>
    </xf>
    <xf numFmtId="0" fontId="28" fillId="6" borderId="18" xfId="0" applyFont="1" applyFill="1" applyBorder="1" applyAlignment="1" applyProtection="1">
      <alignment horizontal="center" vertical="center" wrapText="1"/>
    </xf>
    <xf numFmtId="0" fontId="28" fillId="6" borderId="29" xfId="0" applyFont="1" applyFill="1" applyBorder="1" applyAlignment="1" applyProtection="1">
      <alignment horizontal="center" vertical="center" wrapText="1"/>
    </xf>
    <xf numFmtId="0" fontId="41" fillId="20" borderId="22" xfId="0" applyFont="1" applyFill="1" applyBorder="1" applyAlignment="1" applyProtection="1">
      <alignment horizontal="center" vertical="center" wrapText="1"/>
    </xf>
    <xf numFmtId="0" fontId="41" fillId="20" borderId="23" xfId="0" applyFont="1" applyFill="1" applyBorder="1" applyAlignment="1" applyProtection="1">
      <alignment horizontal="center" vertical="center" wrapText="1"/>
    </xf>
    <xf numFmtId="0" fontId="41" fillId="20" borderId="24" xfId="0" applyFont="1" applyFill="1" applyBorder="1" applyAlignment="1" applyProtection="1">
      <alignment horizontal="center" vertical="center" wrapText="1"/>
    </xf>
    <xf numFmtId="0" fontId="41" fillId="20" borderId="41" xfId="0" applyFont="1" applyFill="1" applyBorder="1" applyAlignment="1" applyProtection="1">
      <alignment horizontal="center" vertical="center" wrapText="1"/>
    </xf>
    <xf numFmtId="0" fontId="41" fillId="20" borderId="21" xfId="0" applyFont="1" applyFill="1" applyBorder="1" applyAlignment="1" applyProtection="1">
      <alignment horizontal="center" vertical="center" wrapText="1"/>
    </xf>
    <xf numFmtId="0" fontId="41" fillId="20" borderId="6" xfId="0" applyFont="1" applyFill="1" applyBorder="1" applyAlignment="1" applyProtection="1">
      <alignment horizontal="center" vertical="center" wrapText="1"/>
    </xf>
    <xf numFmtId="0" fontId="46" fillId="20" borderId="54" xfId="0" applyFont="1" applyFill="1" applyBorder="1" applyAlignment="1" applyProtection="1">
      <alignment horizontal="center" vertical="center" wrapText="1"/>
    </xf>
    <xf numFmtId="0" fontId="45" fillId="20" borderId="54" xfId="0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8" fontId="45" fillId="20" borderId="54" xfId="0" applyNumberFormat="1" applyFont="1" applyFill="1" applyBorder="1" applyAlignment="1" applyProtection="1">
      <alignment horizontal="center" vertical="center" wrapText="1"/>
    </xf>
    <xf numFmtId="0" fontId="45" fillId="20" borderId="62" xfId="0" applyFont="1" applyFill="1" applyBorder="1" applyAlignment="1" applyProtection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168" fontId="46" fillId="0" borderId="5" xfId="0" applyNumberFormat="1" applyFont="1" applyBorder="1" applyAlignment="1" applyProtection="1">
      <alignment horizontal="center" vertical="center" wrapText="1"/>
    </xf>
    <xf numFmtId="168" fontId="46" fillId="0" borderId="1" xfId="0" applyNumberFormat="1" applyFont="1" applyBorder="1" applyAlignment="1" applyProtection="1">
      <alignment horizontal="center" vertical="center" wrapText="1"/>
    </xf>
    <xf numFmtId="168" fontId="46" fillId="0" borderId="8" xfId="0" applyNumberFormat="1" applyFont="1" applyBorder="1" applyAlignment="1" applyProtection="1">
      <alignment horizontal="center" vertical="center" wrapText="1"/>
    </xf>
    <xf numFmtId="0" fontId="46" fillId="0" borderId="42" xfId="0" applyFont="1" applyBorder="1" applyAlignment="1" applyProtection="1">
      <alignment horizontal="center" vertical="center" wrapText="1"/>
    </xf>
    <xf numFmtId="3" fontId="45" fillId="20" borderId="33" xfId="0" applyNumberFormat="1" applyFont="1" applyFill="1" applyBorder="1" applyAlignment="1" applyProtection="1">
      <alignment horizontal="center" vertical="center" wrapText="1"/>
    </xf>
    <xf numFmtId="168" fontId="45" fillId="20" borderId="33" xfId="0" applyNumberFormat="1" applyFont="1" applyFill="1" applyBorder="1" applyAlignment="1" applyProtection="1">
      <alignment horizontal="center" vertical="center" wrapText="1"/>
    </xf>
    <xf numFmtId="14" fontId="45" fillId="20" borderId="49" xfId="0" applyNumberFormat="1" applyFont="1" applyFill="1" applyBorder="1" applyAlignment="1" applyProtection="1">
      <alignment horizontal="center" vertical="center" wrapText="1"/>
    </xf>
    <xf numFmtId="0" fontId="45" fillId="20" borderId="33" xfId="0" applyFont="1" applyFill="1" applyBorder="1" applyAlignment="1" applyProtection="1">
      <alignment horizontal="center" vertical="center"/>
    </xf>
    <xf numFmtId="0" fontId="45" fillId="20" borderId="27" xfId="0" applyFont="1" applyFill="1" applyBorder="1" applyAlignment="1" applyProtection="1">
      <alignment horizontal="center" vertical="center"/>
    </xf>
    <xf numFmtId="0" fontId="45" fillId="20" borderId="52" xfId="0" applyFont="1" applyFill="1" applyBorder="1" applyAlignment="1" applyProtection="1">
      <alignment horizontal="center" vertical="center"/>
    </xf>
    <xf numFmtId="0" fontId="45" fillId="20" borderId="54" xfId="0" applyFont="1" applyFill="1" applyBorder="1" applyAlignment="1" applyProtection="1">
      <alignment horizontal="center" vertical="center"/>
    </xf>
    <xf numFmtId="0" fontId="45" fillId="20" borderId="20" xfId="0" applyFont="1" applyFill="1" applyBorder="1" applyAlignment="1" applyProtection="1">
      <alignment horizontal="center" vertical="center"/>
    </xf>
    <xf numFmtId="168" fontId="45" fillId="20" borderId="33" xfId="0" applyNumberFormat="1" applyFont="1" applyFill="1" applyBorder="1" applyAlignment="1" applyProtection="1">
      <alignment horizontal="center" vertical="center"/>
    </xf>
    <xf numFmtId="168" fontId="45" fillId="20" borderId="52" xfId="0" applyNumberFormat="1" applyFont="1" applyFill="1" applyBorder="1" applyAlignment="1" applyProtection="1">
      <alignment horizontal="center" vertical="center"/>
    </xf>
    <xf numFmtId="0" fontId="47" fillId="20" borderId="32" xfId="0" applyFont="1" applyFill="1" applyBorder="1" applyAlignment="1" applyProtection="1">
      <alignment horizontal="center" vertical="center"/>
    </xf>
    <xf numFmtId="0" fontId="47" fillId="20" borderId="0" xfId="0" applyFont="1" applyFill="1" applyBorder="1" applyAlignment="1" applyProtection="1">
      <alignment horizontal="center" vertical="center"/>
    </xf>
    <xf numFmtId="0" fontId="47" fillId="20" borderId="43" xfId="0" applyFont="1" applyFill="1" applyBorder="1" applyAlignment="1" applyProtection="1">
      <alignment horizontal="center" vertical="center"/>
    </xf>
    <xf numFmtId="0" fontId="45" fillId="20" borderId="1" xfId="0" applyFont="1" applyFill="1" applyBorder="1" applyAlignment="1" applyProtection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168" fontId="45" fillId="20" borderId="5" xfId="0" applyNumberFormat="1" applyFont="1" applyFill="1" applyBorder="1" applyAlignment="1" applyProtection="1">
      <alignment horizontal="center" vertical="center" wrapText="1"/>
    </xf>
    <xf numFmtId="168" fontId="45" fillId="20" borderId="45" xfId="0" applyNumberFormat="1" applyFont="1" applyFill="1" applyBorder="1" applyAlignment="1" applyProtection="1">
      <alignment horizontal="center" vertical="center" wrapText="1"/>
    </xf>
    <xf numFmtId="0" fontId="0" fillId="20" borderId="45" xfId="0" applyFill="1" applyBorder="1" applyAlignment="1">
      <alignment horizontal="center" vertical="center" wrapText="1"/>
    </xf>
    <xf numFmtId="0" fontId="41" fillId="20" borderId="32" xfId="0" applyFont="1" applyFill="1" applyBorder="1" applyAlignment="1" applyProtection="1">
      <alignment horizontal="center" vertical="center"/>
    </xf>
    <xf numFmtId="0" fontId="41" fillId="20" borderId="24" xfId="0" applyFont="1" applyFill="1" applyBorder="1" applyAlignment="1" applyProtection="1">
      <alignment horizontal="center" vertical="center"/>
    </xf>
    <xf numFmtId="0" fontId="41" fillId="20" borderId="0" xfId="0" applyFont="1" applyFill="1" applyBorder="1" applyAlignment="1" applyProtection="1">
      <alignment horizontal="center" vertical="center"/>
    </xf>
    <xf numFmtId="0" fontId="41" fillId="20" borderId="21" xfId="0" applyFont="1" applyFill="1" applyBorder="1" applyAlignment="1" applyProtection="1">
      <alignment horizontal="center" vertical="center"/>
    </xf>
    <xf numFmtId="0" fontId="41" fillId="20" borderId="43" xfId="0" applyFont="1" applyFill="1" applyBorder="1" applyAlignment="1" applyProtection="1">
      <alignment horizontal="center" vertical="center"/>
    </xf>
    <xf numFmtId="0" fontId="46" fillId="20" borderId="5" xfId="0" applyFont="1" applyFill="1" applyBorder="1" applyAlignment="1" applyProtection="1">
      <alignment horizontal="center" vertical="center"/>
    </xf>
    <xf numFmtId="0" fontId="46" fillId="20" borderId="1" xfId="0" applyFont="1" applyFill="1" applyBorder="1" applyAlignment="1" applyProtection="1">
      <alignment horizontal="center" vertical="center"/>
    </xf>
    <xf numFmtId="0" fontId="46" fillId="20" borderId="8" xfId="0" applyFont="1" applyFill="1" applyBorder="1" applyAlignment="1" applyProtection="1">
      <alignment horizontal="center" vertical="center"/>
    </xf>
    <xf numFmtId="0" fontId="45" fillId="20" borderId="5" xfId="0" applyFont="1" applyFill="1" applyBorder="1" applyAlignment="1" applyProtection="1">
      <alignment horizontal="center" vertical="center" wrapText="1"/>
    </xf>
    <xf numFmtId="0" fontId="0" fillId="20" borderId="8" xfId="0" applyFill="1" applyBorder="1" applyAlignment="1">
      <alignment horizontal="center" vertical="center" wrapText="1"/>
    </xf>
    <xf numFmtId="168" fontId="45" fillId="20" borderId="1" xfId="0" applyNumberFormat="1" applyFont="1" applyFill="1" applyBorder="1" applyAlignment="1" applyProtection="1">
      <alignment horizontal="center" vertical="center" wrapText="1"/>
    </xf>
    <xf numFmtId="0" fontId="47" fillId="20" borderId="44" xfId="0" applyFont="1" applyFill="1" applyBorder="1" applyAlignment="1" applyProtection="1">
      <alignment horizontal="center" vertical="center"/>
    </xf>
    <xf numFmtId="0" fontId="47" fillId="20" borderId="1" xfId="0" applyFont="1" applyFill="1" applyBorder="1" applyAlignment="1" applyProtection="1">
      <alignment horizontal="center" vertical="center"/>
    </xf>
    <xf numFmtId="0" fontId="0" fillId="20" borderId="12" xfId="0" applyFill="1" applyBorder="1" applyAlignment="1">
      <alignment horizontal="center" vertical="center" wrapText="1"/>
    </xf>
    <xf numFmtId="0" fontId="41" fillId="20" borderId="4" xfId="0" applyFont="1" applyFill="1" applyBorder="1" applyAlignment="1" applyProtection="1">
      <alignment horizontal="center" vertical="center"/>
    </xf>
    <xf numFmtId="0" fontId="46" fillId="20" borderId="44" xfId="0" applyFont="1" applyFill="1" applyBorder="1" applyAlignment="1" applyProtection="1">
      <alignment horizontal="center" vertical="center"/>
    </xf>
    <xf numFmtId="171" fontId="45" fillId="20" borderId="5" xfId="0" applyNumberFormat="1" applyFont="1" applyFill="1" applyBorder="1" applyAlignment="1" applyProtection="1">
      <alignment horizontal="center" vertical="center" wrapText="1"/>
    </xf>
    <xf numFmtId="171" fontId="0" fillId="20" borderId="1" xfId="0" applyNumberFormat="1" applyFill="1" applyBorder="1" applyAlignment="1">
      <alignment horizontal="center" vertical="center" wrapText="1"/>
    </xf>
    <xf numFmtId="168" fontId="45" fillId="20" borderId="42" xfId="0" applyNumberFormat="1" applyFont="1" applyFill="1" applyBorder="1" applyAlignment="1" applyProtection="1">
      <alignment horizontal="center" vertical="center" wrapText="1"/>
    </xf>
    <xf numFmtId="0" fontId="47" fillId="20" borderId="7" xfId="0" applyFont="1" applyFill="1" applyBorder="1" applyAlignment="1" applyProtection="1">
      <alignment horizontal="center" vertical="center"/>
    </xf>
    <xf numFmtId="0" fontId="47" fillId="20" borderId="8" xfId="0" applyFont="1" applyFill="1" applyBorder="1" applyAlignment="1" applyProtection="1">
      <alignment horizontal="center" vertical="center"/>
    </xf>
    <xf numFmtId="1" fontId="45" fillId="20" borderId="1" xfId="0" applyNumberFormat="1" applyFont="1" applyFill="1" applyBorder="1" applyAlignment="1" applyProtection="1">
      <alignment horizontal="center" vertical="center" wrapText="1"/>
    </xf>
    <xf numFmtId="1" fontId="0" fillId="20" borderId="1" xfId="0" applyNumberFormat="1" applyFill="1" applyBorder="1" applyAlignment="1">
      <alignment horizontal="center" vertical="center" wrapText="1"/>
    </xf>
    <xf numFmtId="1" fontId="0" fillId="20" borderId="8" xfId="0" applyNumberFormat="1" applyFill="1" applyBorder="1" applyAlignment="1">
      <alignment horizontal="center" vertical="center" wrapText="1"/>
    </xf>
    <xf numFmtId="0" fontId="49" fillId="13" borderId="14" xfId="0" applyFont="1" applyFill="1" applyBorder="1" applyAlignment="1" applyProtection="1">
      <alignment horizontal="center" vertical="center"/>
    </xf>
    <xf numFmtId="0" fontId="49" fillId="13" borderId="15" xfId="0" applyFont="1" applyFill="1" applyBorder="1" applyAlignment="1" applyProtection="1">
      <alignment horizontal="center" vertical="center"/>
    </xf>
    <xf numFmtId="0" fontId="41" fillId="6" borderId="14" xfId="0" applyFont="1" applyFill="1" applyBorder="1" applyAlignment="1" applyProtection="1">
      <alignment horizontal="center" vertical="center"/>
    </xf>
    <xf numFmtId="0" fontId="41" fillId="6" borderId="15" xfId="0" applyFont="1" applyFill="1" applyBorder="1" applyAlignment="1" applyProtection="1">
      <alignment horizontal="center" vertical="center"/>
    </xf>
    <xf numFmtId="0" fontId="41" fillId="6" borderId="16" xfId="0" applyFont="1" applyFill="1" applyBorder="1" applyAlignment="1" applyProtection="1">
      <alignment horizontal="center" vertical="center"/>
    </xf>
    <xf numFmtId="0" fontId="49" fillId="13" borderId="22" xfId="0" applyFont="1" applyFill="1" applyBorder="1" applyAlignment="1" applyProtection="1">
      <alignment horizontal="center" vertical="center"/>
    </xf>
    <xf numFmtId="0" fontId="49" fillId="13" borderId="32" xfId="0" applyFont="1" applyFill="1" applyBorder="1" applyAlignment="1" applyProtection="1">
      <alignment horizontal="center" vertical="center"/>
    </xf>
    <xf numFmtId="0" fontId="49" fillId="13" borderId="23" xfId="0" applyFont="1" applyFill="1" applyBorder="1" applyAlignment="1" applyProtection="1">
      <alignment horizontal="center" vertical="center"/>
    </xf>
    <xf numFmtId="0" fontId="49" fillId="13" borderId="21" xfId="0" applyFont="1" applyFill="1" applyBorder="1" applyAlignment="1" applyProtection="1">
      <alignment horizontal="center" vertical="center"/>
    </xf>
    <xf numFmtId="0" fontId="49" fillId="13" borderId="43" xfId="0" applyFont="1" applyFill="1" applyBorder="1" applyAlignment="1" applyProtection="1">
      <alignment horizontal="center" vertical="center"/>
    </xf>
    <xf numFmtId="0" fontId="49" fillId="13" borderId="6" xfId="0" applyFont="1" applyFill="1" applyBorder="1" applyAlignment="1" applyProtection="1">
      <alignment horizontal="center" vertical="center"/>
    </xf>
    <xf numFmtId="0" fontId="28" fillId="6" borderId="57" xfId="0" applyFont="1" applyFill="1" applyBorder="1" applyAlignment="1" applyProtection="1">
      <alignment horizontal="center" vertical="center"/>
    </xf>
    <xf numFmtId="0" fontId="28" fillId="6" borderId="32" xfId="0" applyFont="1" applyFill="1" applyBorder="1" applyAlignment="1" applyProtection="1">
      <alignment horizontal="center" vertical="center"/>
    </xf>
    <xf numFmtId="0" fontId="28" fillId="6" borderId="23" xfId="0" applyFont="1" applyFill="1" applyBorder="1" applyAlignment="1" applyProtection="1">
      <alignment horizontal="center" vertical="center"/>
    </xf>
    <xf numFmtId="0" fontId="46" fillId="0" borderId="34" xfId="0" applyFont="1" applyBorder="1" applyAlignment="1" applyProtection="1">
      <alignment horizontal="center" vertical="center" wrapText="1"/>
    </xf>
    <xf numFmtId="0" fontId="46" fillId="0" borderId="35" xfId="0" applyFont="1" applyBorder="1" applyAlignment="1" applyProtection="1">
      <alignment horizontal="center" vertical="center" wrapText="1"/>
    </xf>
    <xf numFmtId="178" fontId="45" fillId="20" borderId="33" xfId="0" applyNumberFormat="1" applyFont="1" applyFill="1" applyBorder="1" applyAlignment="1" applyProtection="1">
      <alignment horizontal="center" vertical="center" wrapText="1"/>
    </xf>
    <xf numFmtId="4" fontId="45" fillId="20" borderId="33" xfId="0" applyNumberFormat="1" applyFont="1" applyFill="1" applyBorder="1" applyAlignment="1" applyProtection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9" fontId="45" fillId="20" borderId="54" xfId="0" applyNumberFormat="1" applyFont="1" applyFill="1" applyBorder="1" applyAlignment="1" applyProtection="1">
      <alignment horizontal="center" vertical="center" wrapText="1"/>
    </xf>
    <xf numFmtId="0" fontId="47" fillId="13" borderId="22" xfId="0" applyFont="1" applyFill="1" applyBorder="1" applyAlignment="1" applyProtection="1">
      <alignment horizontal="center" vertical="center"/>
    </xf>
    <xf numFmtId="0" fontId="47" fillId="13" borderId="32" xfId="0" applyFont="1" applyFill="1" applyBorder="1" applyAlignment="1" applyProtection="1">
      <alignment horizontal="center" vertical="center"/>
    </xf>
    <xf numFmtId="0" fontId="47" fillId="13" borderId="23" xfId="0" applyFont="1" applyFill="1" applyBorder="1" applyAlignment="1" applyProtection="1">
      <alignment horizontal="center" vertical="center"/>
    </xf>
    <xf numFmtId="0" fontId="47" fillId="13" borderId="21" xfId="0" applyFont="1" applyFill="1" applyBorder="1" applyAlignment="1" applyProtection="1">
      <alignment horizontal="center" vertical="center"/>
    </xf>
    <xf numFmtId="0" fontId="47" fillId="13" borderId="43" xfId="0" applyFont="1" applyFill="1" applyBorder="1" applyAlignment="1" applyProtection="1">
      <alignment horizontal="center" vertical="center"/>
    </xf>
    <xf numFmtId="0" fontId="47" fillId="13" borderId="6" xfId="0" applyFont="1" applyFill="1" applyBorder="1" applyAlignment="1" applyProtection="1">
      <alignment horizontal="center" vertical="center"/>
    </xf>
    <xf numFmtId="0" fontId="47" fillId="13" borderId="14" xfId="0" applyFont="1" applyFill="1" applyBorder="1" applyAlignment="1" applyProtection="1">
      <alignment horizontal="center" vertical="center"/>
    </xf>
    <xf numFmtId="0" fontId="47" fillId="13" borderId="15" xfId="0" applyFont="1" applyFill="1" applyBorder="1" applyAlignment="1" applyProtection="1">
      <alignment horizontal="center" vertical="center"/>
    </xf>
    <xf numFmtId="0" fontId="47" fillId="13" borderId="16" xfId="0" applyFont="1" applyFill="1" applyBorder="1" applyAlignment="1" applyProtection="1">
      <alignment horizontal="center" vertical="center"/>
    </xf>
    <xf numFmtId="0" fontId="28" fillId="6" borderId="46" xfId="0" applyFont="1" applyFill="1" applyBorder="1" applyAlignment="1" applyProtection="1">
      <alignment horizontal="center" vertical="center" wrapText="1"/>
    </xf>
    <xf numFmtId="0" fontId="28" fillId="6" borderId="48" xfId="0" applyFont="1" applyFill="1" applyBorder="1" applyAlignment="1" applyProtection="1">
      <alignment horizontal="center" vertical="center" wrapText="1"/>
    </xf>
    <xf numFmtId="168" fontId="46" fillId="0" borderId="20" xfId="0" applyNumberFormat="1" applyFont="1" applyBorder="1" applyAlignment="1" applyProtection="1">
      <alignment horizontal="center" vertical="center" wrapText="1"/>
    </xf>
    <xf numFmtId="1" fontId="5" fillId="14" borderId="34" xfId="3" applyNumberFormat="1" applyFont="1" applyBorder="1" applyAlignment="1" applyProtection="1">
      <alignment horizontal="center" vertical="center" wrapText="1"/>
      <protection locked="0"/>
    </xf>
    <xf numFmtId="1" fontId="5" fillId="14" borderId="35" xfId="3" applyNumberFormat="1" applyFont="1" applyBorder="1" applyAlignment="1" applyProtection="1">
      <alignment horizontal="center" vertical="center" wrapText="1"/>
      <protection locked="0"/>
    </xf>
    <xf numFmtId="2" fontId="18" fillId="0" borderId="26" xfId="0" applyNumberFormat="1" applyFont="1" applyBorder="1" applyAlignment="1" applyProtection="1">
      <alignment horizontal="center"/>
      <protection hidden="1"/>
    </xf>
    <xf numFmtId="2" fontId="18" fillId="0" borderId="29" xfId="0" applyNumberFormat="1" applyFont="1" applyBorder="1" applyAlignment="1" applyProtection="1">
      <alignment horizontal="center"/>
      <protection hidden="1"/>
    </xf>
    <xf numFmtId="2" fontId="18" fillId="0" borderId="31" xfId="0" applyNumberFormat="1" applyFont="1" applyBorder="1" applyAlignment="1" applyProtection="1">
      <alignment horizontal="center"/>
      <protection hidden="1"/>
    </xf>
    <xf numFmtId="2" fontId="18" fillId="0" borderId="30" xfId="0" applyNumberFormat="1" applyFont="1" applyBorder="1" applyAlignment="1" applyProtection="1">
      <alignment horizontal="center"/>
      <protection hidden="1"/>
    </xf>
    <xf numFmtId="2" fontId="18" fillId="0" borderId="17" xfId="0" applyNumberFormat="1" applyFont="1" applyBorder="1" applyAlignment="1" applyProtection="1">
      <alignment horizontal="center"/>
      <protection hidden="1"/>
    </xf>
    <xf numFmtId="2" fontId="18" fillId="0" borderId="18" xfId="0" applyNumberFormat="1" applyFont="1" applyBorder="1" applyAlignment="1" applyProtection="1">
      <alignment horizontal="center"/>
      <protection hidden="1"/>
    </xf>
    <xf numFmtId="2" fontId="40" fillId="3" borderId="14" xfId="0" applyNumberFormat="1" applyFont="1" applyFill="1" applyBorder="1" applyAlignment="1" applyProtection="1">
      <alignment horizontal="center" vertical="center"/>
      <protection hidden="1"/>
    </xf>
    <xf numFmtId="2" fontId="40" fillId="3" borderId="15" xfId="0" applyNumberFormat="1" applyFont="1" applyFill="1" applyBorder="1" applyAlignment="1" applyProtection="1">
      <alignment horizontal="center" vertical="center"/>
      <protection hidden="1"/>
    </xf>
    <xf numFmtId="2" fontId="40" fillId="3" borderId="16" xfId="0" applyNumberFormat="1" applyFont="1" applyFill="1" applyBorder="1" applyAlignment="1" applyProtection="1">
      <alignment horizontal="center" vertical="center"/>
      <protection hidden="1"/>
    </xf>
    <xf numFmtId="2" fontId="20" fillId="6" borderId="20" xfId="0" applyNumberFormat="1" applyFont="1" applyFill="1" applyBorder="1" applyAlignment="1" applyProtection="1">
      <alignment horizontal="center" vertical="center"/>
      <protection hidden="1"/>
    </xf>
    <xf numFmtId="2" fontId="19" fillId="6" borderId="1" xfId="2" applyNumberFormat="1" applyFont="1" applyFill="1" applyBorder="1" applyAlignment="1" applyProtection="1">
      <alignment horizontal="left" vertical="center"/>
      <protection hidden="1"/>
    </xf>
    <xf numFmtId="2" fontId="19" fillId="6" borderId="2" xfId="2" applyNumberFormat="1" applyFont="1" applyFill="1" applyBorder="1" applyAlignment="1" applyProtection="1">
      <alignment horizontal="left" vertical="center"/>
      <protection hidden="1"/>
    </xf>
    <xf numFmtId="2" fontId="18" fillId="9" borderId="20" xfId="0" applyNumberFormat="1" applyFont="1" applyFill="1" applyBorder="1" applyAlignment="1" applyProtection="1">
      <alignment horizontal="center" vertical="center"/>
      <protection hidden="1"/>
    </xf>
    <xf numFmtId="2" fontId="24" fillId="6" borderId="20" xfId="0" applyNumberFormat="1" applyFont="1" applyFill="1" applyBorder="1" applyAlignment="1" applyProtection="1">
      <alignment horizontal="left" vertical="center"/>
      <protection hidden="1"/>
    </xf>
    <xf numFmtId="2" fontId="39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39" fillId="0" borderId="28" xfId="0" applyNumberFormat="1" applyFont="1" applyFill="1" applyBorder="1" applyAlignment="1" applyProtection="1">
      <alignment horizontal="center" vertical="center" wrapText="1"/>
      <protection hidden="1"/>
    </xf>
    <xf numFmtId="2" fontId="39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9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39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39" fillId="0" borderId="30" xfId="0" applyNumberFormat="1" applyFont="1" applyFill="1" applyBorder="1" applyAlignment="1" applyProtection="1">
      <alignment horizontal="center" vertical="center" wrapText="1"/>
      <protection hidden="1"/>
    </xf>
    <xf numFmtId="2" fontId="39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39" fillId="0" borderId="25" xfId="0" applyNumberFormat="1" applyFont="1" applyFill="1" applyBorder="1" applyAlignment="1" applyProtection="1">
      <alignment horizontal="center" vertical="center" wrapText="1"/>
      <protection hidden="1"/>
    </xf>
    <xf numFmtId="2" fontId="39" fillId="0" borderId="18" xfId="0" applyNumberFormat="1" applyFont="1" applyFill="1" applyBorder="1" applyAlignment="1" applyProtection="1">
      <alignment horizontal="center" vertical="center" wrapText="1"/>
      <protection hidden="1"/>
    </xf>
    <xf numFmtId="2" fontId="19" fillId="6" borderId="20" xfId="2" applyNumberFormat="1" applyFont="1" applyFill="1" applyBorder="1" applyAlignment="1" applyProtection="1">
      <alignment horizontal="left" vertical="center"/>
      <protection hidden="1"/>
    </xf>
    <xf numFmtId="2" fontId="18" fillId="9" borderId="2" xfId="0" applyNumberFormat="1" applyFont="1" applyFill="1" applyBorder="1" applyAlignment="1" applyProtection="1">
      <alignment horizontal="center" vertical="center"/>
      <protection hidden="1"/>
    </xf>
    <xf numFmtId="2" fontId="18" fillId="9" borderId="3" xfId="0" applyNumberFormat="1" applyFont="1" applyFill="1" applyBorder="1" applyAlignment="1" applyProtection="1">
      <alignment horizontal="center" vertical="center"/>
      <protection hidden="1"/>
    </xf>
    <xf numFmtId="168" fontId="18" fillId="9" borderId="2" xfId="0" applyNumberFormat="1" applyFont="1" applyFill="1" applyBorder="1" applyAlignment="1" applyProtection="1">
      <alignment horizontal="center" vertical="center"/>
      <protection hidden="1"/>
    </xf>
    <xf numFmtId="168" fontId="18" fillId="9" borderId="3" xfId="0" applyNumberFormat="1" applyFont="1" applyFill="1" applyBorder="1" applyAlignment="1" applyProtection="1">
      <alignment horizontal="center" vertical="center"/>
      <protection hidden="1"/>
    </xf>
    <xf numFmtId="0" fontId="21" fillId="3" borderId="22" xfId="0" applyFont="1" applyFill="1" applyBorder="1" applyAlignment="1" applyProtection="1">
      <alignment horizontal="center" vertical="center"/>
      <protection hidden="1"/>
    </xf>
    <xf numFmtId="0" fontId="21" fillId="3" borderId="32" xfId="0" applyFont="1" applyFill="1" applyBorder="1" applyAlignment="1" applyProtection="1">
      <alignment horizontal="center" vertical="center"/>
      <protection hidden="1"/>
    </xf>
    <xf numFmtId="0" fontId="21" fillId="3" borderId="23" xfId="0" applyFont="1" applyFill="1" applyBorder="1" applyAlignment="1" applyProtection="1">
      <alignment horizontal="center" vertical="center"/>
      <protection hidden="1"/>
    </xf>
    <xf numFmtId="1" fontId="18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53" fillId="3" borderId="1" xfId="0" applyFont="1" applyFill="1" applyBorder="1" applyAlignment="1" applyProtection="1">
      <alignment horizontal="center" vertical="center" wrapText="1"/>
      <protection hidden="1"/>
    </xf>
    <xf numFmtId="2" fontId="19" fillId="6" borderId="1" xfId="2" applyNumberFormat="1" applyFont="1" applyFill="1" applyBorder="1" applyAlignment="1" applyProtection="1">
      <alignment horizontal="center" vertical="center" wrapText="1"/>
      <protection hidden="1"/>
    </xf>
    <xf numFmtId="2" fontId="19" fillId="6" borderId="2" xfId="2" applyNumberFormat="1" applyFont="1" applyFill="1" applyBorder="1" applyAlignment="1" applyProtection="1">
      <alignment horizontal="center" vertical="center" wrapText="1"/>
      <protection hidden="1"/>
    </xf>
    <xf numFmtId="2" fontId="4" fillId="6" borderId="1" xfId="0" applyNumberFormat="1" applyFont="1" applyFill="1" applyBorder="1" applyAlignment="1" applyProtection="1">
      <alignment horizontal="left" vertical="center" wrapText="1"/>
      <protection hidden="1"/>
    </xf>
    <xf numFmtId="2" fontId="19" fillId="6" borderId="3" xfId="2" applyNumberFormat="1" applyFont="1" applyFill="1" applyBorder="1" applyAlignment="1" applyProtection="1">
      <alignment horizontal="left" vertical="center"/>
      <protection hidden="1"/>
    </xf>
    <xf numFmtId="2" fontId="19" fillId="6" borderId="2" xfId="2" applyNumberFormat="1" applyFont="1" applyFill="1" applyBorder="1" applyAlignment="1" applyProtection="1">
      <alignment horizontal="left" vertical="center" wrapText="1"/>
      <protection hidden="1"/>
    </xf>
    <xf numFmtId="2" fontId="19" fillId="6" borderId="3" xfId="2" applyNumberFormat="1" applyFont="1" applyFill="1" applyBorder="1" applyAlignment="1" applyProtection="1">
      <alignment horizontal="left" vertical="center" wrapText="1"/>
      <protection hidden="1"/>
    </xf>
    <xf numFmtId="2" fontId="24" fillId="6" borderId="2" xfId="0" applyNumberFormat="1" applyFont="1" applyFill="1" applyBorder="1" applyAlignment="1" applyProtection="1">
      <alignment horizontal="center" vertical="center" wrapText="1"/>
      <protection hidden="1"/>
    </xf>
    <xf numFmtId="2" fontId="24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24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20" fillId="6" borderId="19" xfId="0" applyFont="1" applyFill="1" applyBorder="1" applyAlignment="1" applyProtection="1">
      <alignment horizontal="center"/>
      <protection hidden="1"/>
    </xf>
    <xf numFmtId="0" fontId="20" fillId="6" borderId="3" xfId="0" applyFont="1" applyFill="1" applyBorder="1" applyAlignment="1" applyProtection="1">
      <alignment horizontal="center"/>
      <protection hidden="1"/>
    </xf>
    <xf numFmtId="2" fontId="18" fillId="6" borderId="19" xfId="0" applyNumberFormat="1" applyFont="1" applyFill="1" applyBorder="1" applyAlignment="1" applyProtection="1">
      <alignment horizontal="center"/>
      <protection hidden="1"/>
    </xf>
    <xf numFmtId="2" fontId="18" fillId="6" borderId="3" xfId="0" applyNumberFormat="1" applyFont="1" applyFill="1" applyBorder="1" applyAlignment="1" applyProtection="1">
      <alignment horizontal="center"/>
      <protection hidden="1"/>
    </xf>
    <xf numFmtId="2" fontId="18" fillId="6" borderId="1" xfId="0" applyNumberFormat="1" applyFont="1" applyFill="1" applyBorder="1" applyAlignment="1" applyProtection="1">
      <alignment horizontal="center"/>
      <protection hidden="1"/>
    </xf>
    <xf numFmtId="2" fontId="24" fillId="6" borderId="2" xfId="0" applyNumberFormat="1" applyFont="1" applyFill="1" applyBorder="1" applyAlignment="1" applyProtection="1">
      <alignment horizontal="left" vertical="center" wrapText="1"/>
      <protection hidden="1"/>
    </xf>
    <xf numFmtId="2" fontId="24" fillId="6" borderId="19" xfId="0" applyNumberFormat="1" applyFont="1" applyFill="1" applyBorder="1" applyAlignment="1" applyProtection="1">
      <alignment horizontal="left" vertical="center" wrapText="1"/>
      <protection hidden="1"/>
    </xf>
    <xf numFmtId="2" fontId="24" fillId="6" borderId="0" xfId="0" applyNumberFormat="1" applyFont="1" applyFill="1" applyBorder="1" applyAlignment="1" applyProtection="1">
      <alignment horizontal="left" vertical="center" wrapText="1"/>
      <protection hidden="1"/>
    </xf>
    <xf numFmtId="2" fontId="20" fillId="6" borderId="1" xfId="2" applyNumberFormat="1" applyFont="1" applyFill="1" applyBorder="1" applyAlignment="1" applyProtection="1">
      <alignment horizontal="center" vertical="center" wrapText="1"/>
      <protection hidden="1"/>
    </xf>
    <xf numFmtId="2" fontId="40" fillId="3" borderId="22" xfId="0" applyNumberFormat="1" applyFont="1" applyFill="1" applyBorder="1" applyAlignment="1" applyProtection="1">
      <alignment horizontal="center" vertical="center"/>
      <protection hidden="1"/>
    </xf>
    <xf numFmtId="2" fontId="40" fillId="3" borderId="32" xfId="0" applyNumberFormat="1" applyFont="1" applyFill="1" applyBorder="1" applyAlignment="1" applyProtection="1">
      <alignment horizontal="center" vertical="center"/>
      <protection hidden="1"/>
    </xf>
    <xf numFmtId="2" fontId="19" fillId="6" borderId="20" xfId="2" applyNumberFormat="1" applyFont="1" applyFill="1" applyBorder="1" applyAlignment="1" applyProtection="1">
      <alignment horizontal="center" vertical="center" wrapText="1"/>
      <protection hidden="1"/>
    </xf>
    <xf numFmtId="2" fontId="4" fillId="6" borderId="20" xfId="0" applyNumberFormat="1" applyFont="1" applyFill="1" applyBorder="1" applyAlignment="1" applyProtection="1">
      <alignment horizontal="left" vertical="center" wrapText="1"/>
      <protection hidden="1"/>
    </xf>
    <xf numFmtId="2" fontId="24" fillId="12" borderId="1" xfId="0" applyNumberFormat="1" applyFont="1" applyFill="1" applyBorder="1" applyAlignment="1" applyProtection="1">
      <alignment horizontal="center" vertical="center"/>
      <protection hidden="1"/>
    </xf>
    <xf numFmtId="2" fontId="18" fillId="14" borderId="14" xfId="3" applyFont="1" applyBorder="1" applyAlignment="1" applyProtection="1">
      <alignment horizontal="center" vertical="center" wrapText="1"/>
      <protection locked="0"/>
    </xf>
    <xf numFmtId="2" fontId="18" fillId="14" borderId="16" xfId="3" applyFont="1" applyBorder="1" applyAlignment="1" applyProtection="1">
      <alignment horizontal="center" vertical="center" wrapText="1"/>
      <protection locked="0"/>
    </xf>
    <xf numFmtId="2" fontId="25" fillId="3" borderId="14" xfId="0" applyNumberFormat="1" applyFont="1" applyFill="1" applyBorder="1" applyAlignment="1" applyProtection="1">
      <alignment horizontal="center" vertical="center"/>
      <protection hidden="1"/>
    </xf>
    <xf numFmtId="2" fontId="25" fillId="3" borderId="15" xfId="0" applyNumberFormat="1" applyFont="1" applyFill="1" applyBorder="1" applyAlignment="1" applyProtection="1">
      <alignment horizontal="center" vertical="center"/>
      <protection hidden="1"/>
    </xf>
    <xf numFmtId="2" fontId="18" fillId="6" borderId="2" xfId="0" applyNumberFormat="1" applyFont="1" applyFill="1" applyBorder="1" applyAlignment="1" applyProtection="1">
      <alignment horizontal="center"/>
      <protection hidden="1"/>
    </xf>
    <xf numFmtId="2" fontId="18" fillId="2" borderId="2" xfId="0" applyNumberFormat="1" applyFont="1" applyFill="1" applyBorder="1" applyAlignment="1" applyProtection="1">
      <alignment horizontal="left" vertical="center"/>
      <protection hidden="1"/>
    </xf>
    <xf numFmtId="2" fontId="18" fillId="2" borderId="19" xfId="0" applyNumberFormat="1" applyFont="1" applyFill="1" applyBorder="1" applyAlignment="1" applyProtection="1">
      <alignment horizontal="left" vertical="center"/>
      <protection hidden="1"/>
    </xf>
    <xf numFmtId="2" fontId="18" fillId="2" borderId="3" xfId="0" applyNumberFormat="1" applyFont="1" applyFill="1" applyBorder="1" applyAlignment="1" applyProtection="1">
      <alignment horizontal="left" vertical="center"/>
      <protection hidden="1"/>
    </xf>
    <xf numFmtId="2" fontId="18" fillId="2" borderId="17" xfId="0" applyNumberFormat="1" applyFont="1" applyFill="1" applyBorder="1" applyAlignment="1" applyProtection="1">
      <alignment horizontal="left" vertical="center" wrapText="1"/>
      <protection hidden="1"/>
    </xf>
    <xf numFmtId="2" fontId="18" fillId="2" borderId="25" xfId="0" applyNumberFormat="1" applyFont="1" applyFill="1" applyBorder="1" applyAlignment="1" applyProtection="1">
      <alignment horizontal="left" vertical="center" wrapText="1"/>
      <protection hidden="1"/>
    </xf>
    <xf numFmtId="2" fontId="18" fillId="2" borderId="18" xfId="0" applyNumberFormat="1" applyFont="1" applyFill="1" applyBorder="1" applyAlignment="1" applyProtection="1">
      <alignment horizontal="left" vertical="center" wrapText="1"/>
      <protection hidden="1"/>
    </xf>
    <xf numFmtId="2" fontId="42" fillId="8" borderId="14" xfId="0" applyNumberFormat="1" applyFont="1" applyFill="1" applyBorder="1" applyAlignment="1" applyProtection="1">
      <alignment horizontal="center" vertical="center"/>
      <protection hidden="1"/>
    </xf>
    <xf numFmtId="2" fontId="42" fillId="8" borderId="15" xfId="0" applyNumberFormat="1" applyFont="1" applyFill="1" applyBorder="1" applyAlignment="1" applyProtection="1">
      <alignment horizontal="center" vertical="center"/>
      <protection hidden="1"/>
    </xf>
    <xf numFmtId="2" fontId="42" fillId="8" borderId="16" xfId="0" applyNumberFormat="1" applyFont="1" applyFill="1" applyBorder="1" applyAlignment="1" applyProtection="1">
      <alignment horizontal="center" vertical="center"/>
      <protection hidden="1"/>
    </xf>
    <xf numFmtId="2" fontId="29" fillId="6" borderId="27" xfId="0" applyNumberFormat="1" applyFont="1" applyFill="1" applyBorder="1" applyAlignment="1" applyProtection="1">
      <alignment horizontal="center" vertical="center" wrapText="1"/>
      <protection hidden="1"/>
    </xf>
    <xf numFmtId="2" fontId="40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40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40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25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25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25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24" fillId="9" borderId="14" xfId="0" applyNumberFormat="1" applyFont="1" applyFill="1" applyBorder="1" applyAlignment="1" applyProtection="1">
      <alignment horizontal="left" vertical="center" wrapText="1"/>
      <protection hidden="1"/>
    </xf>
    <xf numFmtId="2" fontId="24" fillId="9" borderId="16" xfId="0" applyNumberFormat="1" applyFont="1" applyFill="1" applyBorder="1" applyAlignment="1" applyProtection="1">
      <alignment horizontal="left" vertical="center" wrapText="1"/>
      <protection hidden="1"/>
    </xf>
    <xf numFmtId="2" fontId="24" fillId="6" borderId="25" xfId="0" applyNumberFormat="1" applyFont="1" applyFill="1" applyBorder="1" applyAlignment="1" applyProtection="1">
      <alignment horizontal="left" vertical="center" wrapText="1"/>
      <protection hidden="1"/>
    </xf>
    <xf numFmtId="2" fontId="24" fillId="6" borderId="3" xfId="0" applyNumberFormat="1" applyFont="1" applyFill="1" applyBorder="1" applyAlignment="1" applyProtection="1">
      <alignment horizontal="left" vertical="center" wrapText="1"/>
      <protection hidden="1"/>
    </xf>
    <xf numFmtId="2" fontId="24" fillId="6" borderId="28" xfId="0" applyNumberFormat="1" applyFont="1" applyFill="1" applyBorder="1" applyAlignment="1" applyProtection="1">
      <alignment horizontal="left" vertical="center" wrapText="1"/>
      <protection hidden="1"/>
    </xf>
    <xf numFmtId="2" fontId="24" fillId="6" borderId="29" xfId="0" applyNumberFormat="1" applyFont="1" applyFill="1" applyBorder="1" applyAlignment="1" applyProtection="1">
      <alignment horizontal="left" vertical="center" wrapText="1"/>
      <protection hidden="1"/>
    </xf>
    <xf numFmtId="2" fontId="18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17" xfId="0" applyNumberFormat="1" applyFont="1" applyFill="1" applyBorder="1" applyAlignment="1" applyProtection="1">
      <alignment horizontal="center" vertical="center" wrapText="1"/>
      <protection hidden="1"/>
    </xf>
    <xf numFmtId="2" fontId="19" fillId="6" borderId="20" xfId="0" applyNumberFormat="1" applyFont="1" applyFill="1" applyBorder="1" applyAlignment="1" applyProtection="1">
      <alignment horizontal="center" vertical="center"/>
      <protection hidden="1"/>
    </xf>
    <xf numFmtId="0" fontId="4" fillId="18" borderId="1" xfId="0" applyFont="1" applyFill="1" applyBorder="1" applyAlignment="1" applyProtection="1">
      <alignment horizontal="center" vertical="center" wrapText="1"/>
      <protection hidden="1"/>
    </xf>
    <xf numFmtId="2" fontId="40" fillId="3" borderId="23" xfId="0" applyNumberFormat="1" applyFont="1" applyFill="1" applyBorder="1" applyAlignment="1" applyProtection="1">
      <alignment horizontal="center" vertical="center"/>
      <protection hidden="1"/>
    </xf>
    <xf numFmtId="2" fontId="25" fillId="8" borderId="14" xfId="0" applyNumberFormat="1" applyFont="1" applyFill="1" applyBorder="1" applyAlignment="1" applyProtection="1">
      <alignment horizontal="center" vertical="center"/>
      <protection hidden="1"/>
    </xf>
    <xf numFmtId="2" fontId="25" fillId="8" borderId="16" xfId="0" applyNumberFormat="1" applyFont="1" applyFill="1" applyBorder="1" applyAlignment="1" applyProtection="1">
      <alignment horizontal="center" vertical="center"/>
      <protection hidden="1"/>
    </xf>
    <xf numFmtId="2" fontId="29" fillId="6" borderId="2" xfId="0" applyNumberFormat="1" applyFont="1" applyFill="1" applyBorder="1" applyAlignment="1" applyProtection="1">
      <alignment horizontal="center" vertical="center" wrapText="1"/>
      <protection hidden="1"/>
    </xf>
    <xf numFmtId="2" fontId="29" fillId="6" borderId="3" xfId="0" applyNumberFormat="1" applyFont="1" applyFill="1" applyBorder="1" applyAlignment="1" applyProtection="1">
      <alignment horizontal="center" vertical="center" wrapText="1"/>
      <protection hidden="1"/>
    </xf>
    <xf numFmtId="2" fontId="29" fillId="6" borderId="17" xfId="0" applyNumberFormat="1" applyFont="1" applyFill="1" applyBorder="1" applyAlignment="1" applyProtection="1">
      <alignment horizontal="center" vertical="center" wrapText="1"/>
      <protection hidden="1"/>
    </xf>
    <xf numFmtId="2" fontId="29" fillId="6" borderId="18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36" fillId="3" borderId="14" xfId="0" applyNumberFormat="1" applyFont="1" applyFill="1" applyBorder="1" applyAlignment="1" applyProtection="1">
      <alignment horizontal="center" vertical="center"/>
      <protection hidden="1"/>
    </xf>
    <xf numFmtId="2" fontId="36" fillId="3" borderId="15" xfId="0" applyNumberFormat="1" applyFont="1" applyFill="1" applyBorder="1" applyAlignment="1" applyProtection="1">
      <alignment horizontal="center" vertical="center"/>
      <protection hidden="1"/>
    </xf>
    <xf numFmtId="2" fontId="36" fillId="3" borderId="16" xfId="0" applyNumberFormat="1" applyFont="1" applyFill="1" applyBorder="1" applyAlignment="1" applyProtection="1">
      <alignment horizontal="center" vertical="center"/>
      <protection hidden="1"/>
    </xf>
    <xf numFmtId="2" fontId="25" fillId="8" borderId="15" xfId="0" applyNumberFormat="1" applyFont="1" applyFill="1" applyBorder="1" applyAlignment="1" applyProtection="1">
      <alignment horizontal="center" vertical="center"/>
      <protection hidden="1"/>
    </xf>
    <xf numFmtId="2" fontId="40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40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40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28" fillId="6" borderId="9" xfId="0" applyNumberFormat="1" applyFont="1" applyFill="1" applyBorder="1" applyAlignment="1" applyProtection="1">
      <alignment horizontal="center" vertical="center"/>
      <protection hidden="1"/>
    </xf>
    <xf numFmtId="2" fontId="28" fillId="6" borderId="10" xfId="0" applyNumberFormat="1" applyFont="1" applyFill="1" applyBorder="1" applyAlignment="1" applyProtection="1">
      <alignment horizontal="center" vertical="center"/>
      <protection hidden="1"/>
    </xf>
    <xf numFmtId="2" fontId="28" fillId="6" borderId="11" xfId="0" applyNumberFormat="1" applyFont="1" applyFill="1" applyBorder="1" applyAlignment="1" applyProtection="1">
      <alignment horizontal="center" vertical="center"/>
      <protection hidden="1"/>
    </xf>
    <xf numFmtId="2" fontId="18" fillId="6" borderId="19" xfId="0" applyNumberFormat="1" applyFont="1" applyFill="1" applyBorder="1" applyAlignment="1" applyProtection="1">
      <alignment horizontal="center" vertical="center"/>
      <protection hidden="1"/>
    </xf>
    <xf numFmtId="2" fontId="18" fillId="6" borderId="3" xfId="0" applyNumberFormat="1" applyFont="1" applyFill="1" applyBorder="1" applyAlignment="1" applyProtection="1">
      <alignment horizontal="center" vertical="center"/>
      <protection hidden="1"/>
    </xf>
    <xf numFmtId="2" fontId="24" fillId="6" borderId="17" xfId="0" applyNumberFormat="1" applyFont="1" applyFill="1" applyBorder="1" applyAlignment="1" applyProtection="1">
      <alignment horizontal="center" vertical="center"/>
      <protection hidden="1"/>
    </xf>
    <xf numFmtId="2" fontId="24" fillId="6" borderId="25" xfId="0" applyNumberFormat="1" applyFont="1" applyFill="1" applyBorder="1" applyAlignment="1" applyProtection="1">
      <alignment horizontal="center" vertical="center"/>
      <protection hidden="1"/>
    </xf>
    <xf numFmtId="2" fontId="24" fillId="6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0" fillId="0" borderId="0" xfId="0" applyFont="1" applyAlignment="1">
      <alignment horizontal="justify" vertical="justify" wrapText="1" readingOrder="1"/>
    </xf>
    <xf numFmtId="2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justify" vertical="justify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justify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justify" vertical="justify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5" fillId="0" borderId="22" xfId="0" applyFont="1" applyBorder="1" applyAlignment="1">
      <alignment horizontal="justify" vertical="justify" wrapText="1" readingOrder="1"/>
    </xf>
    <xf numFmtId="0" fontId="45" fillId="0" borderId="23" xfId="0" applyFont="1" applyBorder="1" applyAlignment="1">
      <alignment horizontal="justify" vertical="justify" wrapText="1" readingOrder="1"/>
    </xf>
    <xf numFmtId="0" fontId="45" fillId="0" borderId="24" xfId="0" applyFont="1" applyBorder="1" applyAlignment="1">
      <alignment horizontal="justify" vertical="justify" wrapText="1" readingOrder="1"/>
    </xf>
    <xf numFmtId="0" fontId="45" fillId="0" borderId="41" xfId="0" applyFont="1" applyBorder="1" applyAlignment="1">
      <alignment horizontal="justify" vertical="justify" wrapText="1" readingOrder="1"/>
    </xf>
    <xf numFmtId="0" fontId="45" fillId="0" borderId="21" xfId="0" applyFont="1" applyBorder="1" applyAlignment="1">
      <alignment horizontal="justify" vertical="justify" wrapText="1" readingOrder="1"/>
    </xf>
    <xf numFmtId="0" fontId="45" fillId="0" borderId="6" xfId="0" applyFont="1" applyBorder="1" applyAlignment="1">
      <alignment horizontal="justify" vertical="justify" wrapText="1" readingOrder="1"/>
    </xf>
    <xf numFmtId="0" fontId="4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justify" vertical="justify" wrapText="1"/>
    </xf>
    <xf numFmtId="0" fontId="8" fillId="0" borderId="2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24" xfId="0" applyFont="1" applyBorder="1" applyAlignment="1">
      <alignment horizontal="left" vertical="center" wrapText="1"/>
    </xf>
    <xf numFmtId="0" fontId="60" fillId="0" borderId="37" xfId="0" applyFont="1" applyBorder="1" applyAlignment="1">
      <alignment horizontal="center" vertical="center" wrapText="1"/>
    </xf>
    <xf numFmtId="164" fontId="60" fillId="0" borderId="20" xfId="0" applyNumberFormat="1" applyFont="1" applyBorder="1" applyAlignment="1">
      <alignment horizontal="center" vertical="center" wrapText="1"/>
    </xf>
    <xf numFmtId="2" fontId="60" fillId="0" borderId="20" xfId="0" applyNumberFormat="1" applyFont="1" applyBorder="1" applyAlignment="1">
      <alignment horizontal="center" vertical="center" wrapText="1"/>
    </xf>
    <xf numFmtId="2" fontId="61" fillId="0" borderId="0" xfId="0" applyNumberFormat="1" applyFont="1" applyBorder="1" applyAlignment="1">
      <alignment horizontal="center" vertical="center" wrapText="1"/>
    </xf>
    <xf numFmtId="2" fontId="62" fillId="2" borderId="11" xfId="0" applyNumberFormat="1" applyFont="1" applyFill="1" applyBorder="1" applyAlignment="1" applyProtection="1">
      <alignment horizontal="center" vertical="center" wrapText="1"/>
    </xf>
    <xf numFmtId="164" fontId="60" fillId="2" borderId="20" xfId="0" applyNumberFormat="1" applyFont="1" applyFill="1" applyBorder="1" applyAlignment="1" applyProtection="1">
      <alignment horizontal="center" vertical="center"/>
    </xf>
    <xf numFmtId="2" fontId="60" fillId="2" borderId="20" xfId="0" applyNumberFormat="1" applyFont="1" applyFill="1" applyBorder="1" applyAlignment="1" applyProtection="1">
      <alignment horizontal="center" vertical="center"/>
    </xf>
  </cellXfs>
  <cellStyles count="5">
    <cellStyle name="Bueno" xfId="2" builtinId="26"/>
    <cellStyle name="Estilo 1" xfId="3"/>
    <cellStyle name="Estilo 2" xfId="4"/>
    <cellStyle name="Normal" xfId="0" builtinId="0"/>
    <cellStyle name="Porcentaje" xfId="1" builtinId="5"/>
  </cellStyles>
  <dxfs count="1">
    <dxf>
      <font>
        <color rgb="FF9C0006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DDEBF7"/>
      <color rgb="FF8DB4E2"/>
      <color rgb="FFF4B084"/>
      <color rgb="FFBDD7EE"/>
      <color rgb="FFFFC000"/>
      <color rgb="FFB6FD03"/>
      <color rgb="FFFF9900"/>
      <color rgb="FFFFF2CC"/>
      <color rgb="FF1F4E7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DATOS!$A$102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DATOS!$F$102:$F$104</c:f>
              <c:numCache>
                <c:formatCode>General</c:formatCode>
                <c:ptCount val="3"/>
                <c:pt idx="0">
                  <c:v>18.2</c:v>
                </c:pt>
                <c:pt idx="1">
                  <c:v>20.100000000000001</c:v>
                </c:pt>
                <c:pt idx="2" formatCode="0.0">
                  <c:v>22</c:v>
                </c:pt>
              </c:numCache>
            </c:numRef>
          </c:xVal>
          <c:yVal>
            <c:numRef>
              <c:f>DATOS!$H$102:$H$104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A7-42AB-AD68-A2CABEF7B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09104"/>
        <c:axId val="-1663806928"/>
      </c:scatterChart>
      <c:valAx>
        <c:axId val="-166380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06928"/>
        <c:crosses val="autoZero"/>
        <c:crossBetween val="midCat"/>
      </c:valAx>
      <c:valAx>
        <c:axId val="-166380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09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DATOS!$A$134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DATOS!$F$134:$F$136</c:f>
              <c:numCache>
                <c:formatCode>General</c:formatCode>
                <c:ptCount val="3"/>
                <c:pt idx="0">
                  <c:v>18.100000000000001</c:v>
                </c:pt>
                <c:pt idx="1">
                  <c:v>20.100000000000001</c:v>
                </c:pt>
                <c:pt idx="2" formatCode="0.0">
                  <c:v>22</c:v>
                </c:pt>
              </c:numCache>
            </c:numRef>
          </c:xVal>
          <c:yVal>
            <c:numRef>
              <c:f>DATOS!$H$134:$H$136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302-4FC3-B293-9A8F70C32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15632"/>
        <c:axId val="-1663815088"/>
      </c:scatterChart>
      <c:valAx>
        <c:axId val="-166381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5088"/>
        <c:crosses val="autoZero"/>
        <c:crossBetween val="midCat"/>
      </c:valAx>
      <c:valAx>
        <c:axId val="-166381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5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DATOS!$A$137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DATOS!$F$137:$F$139</c:f>
              <c:numCache>
                <c:formatCode>General</c:formatCode>
                <c:ptCount val="3"/>
                <c:pt idx="0">
                  <c:v>41.8</c:v>
                </c:pt>
                <c:pt idx="1">
                  <c:v>50.6</c:v>
                </c:pt>
                <c:pt idx="2">
                  <c:v>59.4</c:v>
                </c:pt>
              </c:numCache>
            </c:numRef>
          </c:xVal>
          <c:yVal>
            <c:numRef>
              <c:f>DATOS!$H$137:$H$139</c:f>
              <c:numCache>
                <c:formatCode>General</c:formatCode>
                <c:ptCount val="3"/>
                <c:pt idx="0">
                  <c:v>-1.8</c:v>
                </c:pt>
                <c:pt idx="1">
                  <c:v>-0.6</c:v>
                </c:pt>
                <c:pt idx="2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F77-4A58-82E7-FCB107260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18352"/>
        <c:axId val="-1663808016"/>
      </c:scatterChart>
      <c:valAx>
        <c:axId val="-166381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08016"/>
        <c:crosses val="autoZero"/>
        <c:crossBetween val="midCat"/>
      </c:valAx>
      <c:valAx>
        <c:axId val="-166380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8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DATOS!$A$140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DATOS!$F$140:$F$142</c:f>
              <c:numCache>
                <c:formatCode>General</c:formatCode>
                <c:ptCount val="3"/>
                <c:pt idx="0">
                  <c:v>397.9</c:v>
                </c:pt>
                <c:pt idx="1">
                  <c:v>753.2</c:v>
                </c:pt>
                <c:pt idx="2">
                  <c:v>1099.3</c:v>
                </c:pt>
              </c:numCache>
            </c:numRef>
          </c:xVal>
          <c:yVal>
            <c:numRef>
              <c:f>DATOS!$H$140:$H$142</c:f>
              <c:numCache>
                <c:formatCode>0.00</c:formatCode>
                <c:ptCount val="3"/>
                <c:pt idx="0" formatCode="General">
                  <c:v>-1.3</c:v>
                </c:pt>
                <c:pt idx="1">
                  <c:v>-0.64100000000000001</c:v>
                </c:pt>
                <c:pt idx="2" formatCode="General">
                  <c:v>-0.06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82-46EA-AA8D-A1210FE1B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14000"/>
        <c:axId val="-1660142784"/>
      </c:scatterChart>
      <c:valAx>
        <c:axId val="-166381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142784"/>
        <c:crosses val="autoZero"/>
        <c:crossBetween val="midCat"/>
      </c:valAx>
      <c:valAx>
        <c:axId val="-166014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DATOS!$A$144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DATOS!$F$144:$F$146</c:f>
              <c:numCache>
                <c:formatCode>0.0</c:formatCode>
                <c:ptCount val="3"/>
                <c:pt idx="0" formatCode="General">
                  <c:v>18.2</c:v>
                </c:pt>
                <c:pt idx="1">
                  <c:v>20</c:v>
                </c:pt>
                <c:pt idx="2">
                  <c:v>22</c:v>
                </c:pt>
              </c:numCache>
            </c:numRef>
          </c:xVal>
          <c:yVal>
            <c:numRef>
              <c:f>DATOS!$H$144:$H$146</c:f>
              <c:numCache>
                <c:formatCode>General</c:formatCode>
                <c:ptCount val="3"/>
                <c:pt idx="0">
                  <c:v>0</c:v>
                </c:pt>
                <c:pt idx="1">
                  <c:v>0.1</c:v>
                </c:pt>
                <c:pt idx="2" formatCode="0.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DD6-4755-BB96-258E34CB1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0138432"/>
        <c:axId val="-1660137888"/>
      </c:scatterChart>
      <c:valAx>
        <c:axId val="-1660138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137888"/>
        <c:crosses val="autoZero"/>
        <c:crossBetween val="midCat"/>
      </c:valAx>
      <c:valAx>
        <c:axId val="-166013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0138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DATOS!$A$147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DATOS!$F$147:$F$149</c:f>
              <c:numCache>
                <c:formatCode>General</c:formatCode>
                <c:ptCount val="3"/>
                <c:pt idx="0">
                  <c:v>41.8</c:v>
                </c:pt>
                <c:pt idx="1">
                  <c:v>50.5</c:v>
                </c:pt>
                <c:pt idx="2">
                  <c:v>59.3</c:v>
                </c:pt>
              </c:numCache>
            </c:numRef>
          </c:xVal>
          <c:yVal>
            <c:numRef>
              <c:f>DATOS!$H$147:$H$149</c:f>
              <c:numCache>
                <c:formatCode>General</c:formatCode>
                <c:ptCount val="3"/>
                <c:pt idx="0">
                  <c:v>-1.8</c:v>
                </c:pt>
                <c:pt idx="1">
                  <c:v>-0.5</c:v>
                </c:pt>
                <c:pt idx="2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339-466E-857F-2FB6D178D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67446304"/>
        <c:axId val="-1567451744"/>
      </c:scatterChart>
      <c:valAx>
        <c:axId val="-1567446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67451744"/>
        <c:crosses val="autoZero"/>
        <c:crossBetween val="midCat"/>
      </c:valAx>
      <c:valAx>
        <c:axId val="-156745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67446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DATOS!$A$150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DATOS!$F$150:$F$152</c:f>
              <c:numCache>
                <c:formatCode>General</c:formatCode>
                <c:ptCount val="3"/>
                <c:pt idx="0" formatCode="0.0">
                  <c:v>397.9</c:v>
                </c:pt>
                <c:pt idx="1">
                  <c:v>753.2</c:v>
                </c:pt>
                <c:pt idx="2">
                  <c:v>1099.2</c:v>
                </c:pt>
              </c:numCache>
            </c:numRef>
          </c:xVal>
          <c:yVal>
            <c:numRef>
              <c:f>DATOS!$H$150:$H$152</c:f>
              <c:numCache>
                <c:formatCode>0.00</c:formatCode>
                <c:ptCount val="3"/>
                <c:pt idx="0" formatCode="General">
                  <c:v>-1.34</c:v>
                </c:pt>
                <c:pt idx="1">
                  <c:v>-0.64100000000000001</c:v>
                </c:pt>
                <c:pt idx="2" formatCode="General">
                  <c:v>-0.54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40-4D47-9A69-250F043CE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67457184"/>
        <c:axId val="-1567456640"/>
      </c:scatterChart>
      <c:valAx>
        <c:axId val="-1567457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67456640"/>
        <c:crosses val="autoZero"/>
        <c:crossBetween val="midCat"/>
      </c:valAx>
      <c:valAx>
        <c:axId val="-156745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67457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32395562366844E-2"/>
          <c:y val="0.10959118038342176"/>
          <c:w val="0.89016256604346367"/>
          <c:h val="0.807681013008630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'RT03-F12'!$J$126:$J$130</c:f>
              <c:str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strCache>
            </c:strRef>
          </c:tx>
          <c:spPr>
            <a:ln w="25400" cap="rnd">
              <a:solidFill>
                <a:schemeClr val="accent1"/>
              </a:solidFill>
              <a:beve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 w="25400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6471686320229446"/>
                  <c:y val="-7.271230390325554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'RT03-F12'!$J$126:$J$130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'RT03-F12'!$K$126:$K$130</c:f>
              <c:numCache>
                <c:formatCode>0.000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0.0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5C-48CB-9721-F102F978F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67455552"/>
        <c:axId val="-1567449024"/>
      </c:scatterChart>
      <c:valAx>
        <c:axId val="-1567455552"/>
        <c:scaling>
          <c:orientation val="minMax"/>
          <c:max val="9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CARGA (g)</a:t>
                </a:r>
              </a:p>
            </c:rich>
          </c:tx>
          <c:layout>
            <c:manualLayout>
              <c:xMode val="edge"/>
              <c:yMode val="edge"/>
              <c:x val="0.49284502787607881"/>
              <c:y val="0.82940679881451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67449024"/>
        <c:crosses val="autoZero"/>
        <c:crossBetween val="midCat"/>
        <c:majorUnit val="1000"/>
        <c:minorUnit val="10"/>
      </c:valAx>
      <c:valAx>
        <c:axId val="-1567449024"/>
        <c:scaling>
          <c:orientation val="minMax"/>
          <c:max val="90"/>
          <c:min val="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none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Incertidumbre   mg                    </a:t>
                </a:r>
              </a:p>
            </c:rich>
          </c:tx>
          <c:layout>
            <c:manualLayout>
              <c:xMode val="edge"/>
              <c:yMode val="edge"/>
              <c:x val="1.2119361627031297E-2"/>
              <c:y val="0.277740617351224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none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67455552"/>
        <c:crosses val="autoZero"/>
        <c:crossBetween val="midCat"/>
        <c:majorUnit val="10"/>
        <c:min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ERROR E INCERTIDUMBRE EXPANDIDA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2975995505345"/>
          <c:y val="0.15223223351960843"/>
          <c:w val="0.7767882213169266"/>
          <c:h val="0.70618245054164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'RT03-F15'!$B$108</c:f>
              <c:strCache>
                <c:ptCount val="1"/>
                <c:pt idx="0">
                  <c:v>ERROR (g)</c:v>
                </c:pt>
              </c:strCache>
            </c:strRef>
          </c:tx>
          <c:spPr>
            <a:ln w="9525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12700" cap="flat" cmpd="sng" algn="ctr">
                <a:solidFill>
                  <a:srgbClr val="FF0000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'RT03-F15'!$C$109:$C$113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'RT03-F15'!$C$109:$C$113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12700" cap="rnd">
                <a:solidFill>
                  <a:schemeClr val="tx1">
                    <a:alpha val="9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rnd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'RT03-F15'!$A$109:$A$113</c:f>
              <c:numCache>
                <c:formatCode>0.0000</c:formatCode>
                <c:ptCount val="5"/>
                <c:pt idx="0" formatCode="0.00000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'RT03-F15'!$B$109:$B$113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5A-45D2-B6C6-E3DBDB9EB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67444128"/>
        <c:axId val="-1567453920"/>
      </c:scatterChart>
      <c:valAx>
        <c:axId val="-1567444128"/>
        <c:scaling>
          <c:orientation val="minMax"/>
          <c:max val="9000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Carga ( g )</a:t>
                </a:r>
              </a:p>
            </c:rich>
          </c:tx>
          <c:layout>
            <c:manualLayout>
              <c:xMode val="edge"/>
              <c:yMode val="edge"/>
              <c:x val="0.43942835078333037"/>
              <c:y val="0.92715940113938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low"/>
        <c:spPr>
          <a:solidFill>
            <a:schemeClr val="bg2"/>
          </a:solidFill>
          <a:ln w="25400" cap="rnd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67453920"/>
        <c:crossesAt val="0"/>
        <c:crossBetween val="midCat"/>
        <c:majorUnit val="1000"/>
        <c:minorUnit val="10"/>
      </c:valAx>
      <c:valAx>
        <c:axId val="-1567453920"/>
        <c:scaling>
          <c:orientation val="minMax"/>
          <c:max val="0.30000000000000004"/>
          <c:min val="-0.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Error e Incertidumbre ( g )</a:t>
                </a:r>
              </a:p>
            </c:rich>
          </c:tx>
          <c:layout>
            <c:manualLayout>
              <c:xMode val="edge"/>
              <c:yMode val="edge"/>
              <c:x val="8.6280109763693213E-2"/>
              <c:y val="0.19738182500596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567444128"/>
        <c:crossesAt val="0"/>
        <c:crossBetween val="midCat"/>
        <c:minorUnit val="0.1"/>
      </c:valAx>
      <c:spPr>
        <a:noFill/>
        <a:ln w="25400">
          <a:noFill/>
        </a:ln>
        <a:effectLst>
          <a:softEdge rad="419100"/>
        </a:effectLst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DATOS!$A$105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DATOS!$F$105:$F$107</c:f>
              <c:numCache>
                <c:formatCode>General</c:formatCode>
                <c:ptCount val="3"/>
                <c:pt idx="0">
                  <c:v>41.8</c:v>
                </c:pt>
                <c:pt idx="1">
                  <c:v>50.4</c:v>
                </c:pt>
                <c:pt idx="2">
                  <c:v>59.3</c:v>
                </c:pt>
              </c:numCache>
            </c:numRef>
          </c:xVal>
          <c:yVal>
            <c:numRef>
              <c:f>DATOS!$H$105:$H$107</c:f>
              <c:numCache>
                <c:formatCode>General</c:formatCode>
                <c:ptCount val="3"/>
                <c:pt idx="0">
                  <c:v>-1.8</c:v>
                </c:pt>
                <c:pt idx="1">
                  <c:v>-0.4</c:v>
                </c:pt>
                <c:pt idx="2">
                  <c:v>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59-4A4E-A697-C5624D0D5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07472"/>
        <c:axId val="-1663816720"/>
      </c:scatterChart>
      <c:valAx>
        <c:axId val="-1663807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6720"/>
        <c:crosses val="autoZero"/>
        <c:crossBetween val="midCat"/>
      </c:valAx>
      <c:valAx>
        <c:axId val="-166381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07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DATOS!$A$108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DATOS!$F$108:$F$110</c:f>
              <c:numCache>
                <c:formatCode>General</c:formatCode>
                <c:ptCount val="3"/>
                <c:pt idx="0">
                  <c:v>397.9</c:v>
                </c:pt>
                <c:pt idx="1">
                  <c:v>753.1</c:v>
                </c:pt>
                <c:pt idx="2" formatCode="0.0">
                  <c:v>899</c:v>
                </c:pt>
              </c:numCache>
            </c:numRef>
          </c:xVal>
          <c:yVal>
            <c:numRef>
              <c:f>DATOS!$H$108:$H$110</c:f>
              <c:numCache>
                <c:formatCode>General</c:formatCode>
                <c:ptCount val="3"/>
                <c:pt idx="0">
                  <c:v>-1.3</c:v>
                </c:pt>
                <c:pt idx="1">
                  <c:v>-0.74</c:v>
                </c:pt>
                <c:pt idx="2">
                  <c:v>-0.09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C5-499A-BF19-5C0319C4E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11824"/>
        <c:axId val="-1663814544"/>
      </c:scatterChart>
      <c:valAx>
        <c:axId val="-166381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4544"/>
        <c:crosses val="autoZero"/>
        <c:crossBetween val="midCat"/>
      </c:valAx>
      <c:valAx>
        <c:axId val="-166381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1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DATOS!$A$113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DATOS!$F$113:$F$115</c:f>
              <c:numCache>
                <c:formatCode>General</c:formatCode>
                <c:ptCount val="3"/>
                <c:pt idx="0" formatCode="0.0">
                  <c:v>20</c:v>
                </c:pt>
                <c:pt idx="1">
                  <c:v>28.1</c:v>
                </c:pt>
                <c:pt idx="2">
                  <c:v>32.1</c:v>
                </c:pt>
              </c:numCache>
            </c:numRef>
          </c:xVal>
          <c:yVal>
            <c:numRef>
              <c:f>DATOS!$H$113:$H$115</c:f>
              <c:numCache>
                <c:formatCode>General</c:formatCode>
                <c:ptCount val="3"/>
                <c:pt idx="0">
                  <c:v>-0.1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D30-4C94-A1E2-13FCCBF59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18896"/>
        <c:axId val="-1663821072"/>
      </c:scatterChart>
      <c:valAx>
        <c:axId val="-1663818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21072"/>
        <c:crosses val="autoZero"/>
        <c:crossBetween val="midCat"/>
      </c:valAx>
      <c:valAx>
        <c:axId val="-166382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8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DATOS!$A$116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DATOS!$F$116:$F$118</c:f>
              <c:numCache>
                <c:formatCode>General</c:formatCode>
                <c:ptCount val="3"/>
                <c:pt idx="0">
                  <c:v>50.1</c:v>
                </c:pt>
                <c:pt idx="1">
                  <c:v>59.9</c:v>
                </c:pt>
                <c:pt idx="2">
                  <c:v>69.099999999999994</c:v>
                </c:pt>
              </c:numCache>
            </c:numRef>
          </c:xVal>
          <c:yVal>
            <c:numRef>
              <c:f>DATOS!$H$116:$H$118</c:f>
              <c:numCache>
                <c:formatCode>#,##0.0</c:formatCode>
                <c:ptCount val="3"/>
                <c:pt idx="0">
                  <c:v>0.9</c:v>
                </c:pt>
                <c:pt idx="1">
                  <c:v>0.5</c:v>
                </c:pt>
                <c:pt idx="2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3F-402D-83B5-11A31C0EE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12912"/>
        <c:axId val="-1663806384"/>
      </c:scatterChart>
      <c:valAx>
        <c:axId val="-1663812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06384"/>
        <c:crosses val="autoZero"/>
        <c:crossBetween val="midCat"/>
      </c:valAx>
      <c:valAx>
        <c:axId val="-166380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2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DATOS!$A$119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DATOS!$F$119:$F$121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1099.8</c:v>
                </c:pt>
              </c:numCache>
            </c:numRef>
          </c:xVal>
          <c:yVal>
            <c:numRef>
              <c:f>DATOS!$H$119:$H$121</c:f>
              <c:numCache>
                <c:formatCode>#,##0.0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E9-4115-9812-5DCF26BF4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11280"/>
        <c:axId val="-1663821616"/>
      </c:scatterChart>
      <c:valAx>
        <c:axId val="-1663811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21616"/>
        <c:crosses val="autoZero"/>
        <c:crossBetween val="midCat"/>
      </c:valAx>
      <c:valAx>
        <c:axId val="-166382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1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DATOS!$A$124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DATOS!$F$124:$F$126</c:f>
              <c:numCache>
                <c:formatCode>General</c:formatCode>
                <c:ptCount val="3"/>
                <c:pt idx="0" formatCode="0.0">
                  <c:v>16</c:v>
                </c:pt>
                <c:pt idx="1">
                  <c:v>20.100000000000001</c:v>
                </c:pt>
                <c:pt idx="2">
                  <c:v>24.4</c:v>
                </c:pt>
              </c:numCache>
            </c:numRef>
          </c:xVal>
          <c:yVal>
            <c:numRef>
              <c:f>DATOS!$H$124:$H$126</c:f>
              <c:numCache>
                <c:formatCode>General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BE-4942-BD61-99B417D3D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09648"/>
        <c:axId val="-1663820528"/>
      </c:scatterChart>
      <c:valAx>
        <c:axId val="-1663809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20528"/>
        <c:crosses val="autoZero"/>
        <c:crossBetween val="midCat"/>
      </c:valAx>
      <c:valAx>
        <c:axId val="-166382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09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DATOS!$A$127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DATOS!$F$127:$F$129</c:f>
              <c:numCache>
                <c:formatCode>General</c:formatCode>
                <c:ptCount val="3"/>
                <c:pt idx="0">
                  <c:v>39.5</c:v>
                </c:pt>
                <c:pt idx="1">
                  <c:v>49.8</c:v>
                </c:pt>
                <c:pt idx="2">
                  <c:v>59.3</c:v>
                </c:pt>
              </c:numCache>
            </c:numRef>
          </c:xVal>
          <c:yVal>
            <c:numRef>
              <c:f>DATOS!$H$127:$H$129</c:f>
              <c:numCache>
                <c:formatCode>General</c:formatCode>
                <c:ptCount val="3"/>
                <c:pt idx="0">
                  <c:v>0.79</c:v>
                </c:pt>
                <c:pt idx="1">
                  <c:v>0.63</c:v>
                </c:pt>
                <c:pt idx="2">
                  <c:v>-0.13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F5-4C4F-B43B-BBFFF0F87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12368"/>
        <c:axId val="-1663810736"/>
      </c:scatterChart>
      <c:valAx>
        <c:axId val="-1663812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0736"/>
        <c:crosses val="autoZero"/>
        <c:crossBetween val="midCat"/>
      </c:valAx>
      <c:valAx>
        <c:axId val="-166381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2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DATOS!$A$130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DATOS!$F$130:$F$132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1099.9000000000001</c:v>
                </c:pt>
              </c:numCache>
            </c:numRef>
          </c:xVal>
          <c:yVal>
            <c:numRef>
              <c:f>DATOS!$H$130:$H$132</c:f>
              <c:numCache>
                <c:formatCode>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128-477A-BF37-F626B4838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63819984"/>
        <c:axId val="-1663808560"/>
      </c:scatterChart>
      <c:valAx>
        <c:axId val="-166381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08560"/>
        <c:crosses val="autoZero"/>
        <c:crossBetween val="midCat"/>
      </c:valAx>
      <c:valAx>
        <c:axId val="-166380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63819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16.xml"/><Relationship Id="rId5" Type="http://schemas.openxmlformats.org/officeDocument/2006/relationships/image" Target="file:///\\Abeltran\publico\Logo%20completo.gif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196169</xdr:colOff>
      <xdr:row>99</xdr:row>
      <xdr:rowOff>157616</xdr:rowOff>
    </xdr:from>
    <xdr:to>
      <xdr:col>13</xdr:col>
      <xdr:colOff>944559</xdr:colOff>
      <xdr:row>102</xdr:row>
      <xdr:rowOff>293688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206375</xdr:colOff>
      <xdr:row>102</xdr:row>
      <xdr:rowOff>365125</xdr:rowOff>
    </xdr:from>
    <xdr:to>
      <xdr:col>13</xdr:col>
      <xdr:colOff>954765</xdr:colOff>
      <xdr:row>106</xdr:row>
      <xdr:rowOff>120197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174625</xdr:colOff>
      <xdr:row>106</xdr:row>
      <xdr:rowOff>134938</xdr:rowOff>
    </xdr:from>
    <xdr:to>
      <xdr:col>13</xdr:col>
      <xdr:colOff>923015</xdr:colOff>
      <xdr:row>109</xdr:row>
      <xdr:rowOff>271010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246063</xdr:colOff>
      <xdr:row>110</xdr:row>
      <xdr:rowOff>238125</xdr:rowOff>
    </xdr:from>
    <xdr:to>
      <xdr:col>13</xdr:col>
      <xdr:colOff>994453</xdr:colOff>
      <xdr:row>113</xdr:row>
      <xdr:rowOff>374197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246063</xdr:colOff>
      <xdr:row>114</xdr:row>
      <xdr:rowOff>1</xdr:rowOff>
    </xdr:from>
    <xdr:to>
      <xdr:col>13</xdr:col>
      <xdr:colOff>994453</xdr:colOff>
      <xdr:row>117</xdr:row>
      <xdr:rowOff>136073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206375</xdr:colOff>
      <xdr:row>117</xdr:row>
      <xdr:rowOff>174625</xdr:rowOff>
    </xdr:from>
    <xdr:to>
      <xdr:col>13</xdr:col>
      <xdr:colOff>954765</xdr:colOff>
      <xdr:row>120</xdr:row>
      <xdr:rowOff>310697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246063</xdr:colOff>
      <xdr:row>121</xdr:row>
      <xdr:rowOff>365125</xdr:rowOff>
    </xdr:from>
    <xdr:to>
      <xdr:col>13</xdr:col>
      <xdr:colOff>994453</xdr:colOff>
      <xdr:row>125</xdr:row>
      <xdr:rowOff>120197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254000</xdr:colOff>
      <xdr:row>125</xdr:row>
      <xdr:rowOff>134938</xdr:rowOff>
    </xdr:from>
    <xdr:to>
      <xdr:col>13</xdr:col>
      <xdr:colOff>1002390</xdr:colOff>
      <xdr:row>128</xdr:row>
      <xdr:rowOff>271010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230187</xdr:colOff>
      <xdr:row>128</xdr:row>
      <xdr:rowOff>277813</xdr:rowOff>
    </xdr:from>
    <xdr:to>
      <xdr:col>13</xdr:col>
      <xdr:colOff>978577</xdr:colOff>
      <xdr:row>132</xdr:row>
      <xdr:rowOff>32885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261938</xdr:colOff>
      <xdr:row>132</xdr:row>
      <xdr:rowOff>127000</xdr:rowOff>
    </xdr:from>
    <xdr:to>
      <xdr:col>13</xdr:col>
      <xdr:colOff>1010328</xdr:colOff>
      <xdr:row>135</xdr:row>
      <xdr:rowOff>263072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246063</xdr:colOff>
      <xdr:row>135</xdr:row>
      <xdr:rowOff>285750</xdr:rowOff>
    </xdr:from>
    <xdr:to>
      <xdr:col>13</xdr:col>
      <xdr:colOff>994453</xdr:colOff>
      <xdr:row>139</xdr:row>
      <xdr:rowOff>40822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214313</xdr:colOff>
      <xdr:row>139</xdr:row>
      <xdr:rowOff>71438</xdr:rowOff>
    </xdr:from>
    <xdr:to>
      <xdr:col>13</xdr:col>
      <xdr:colOff>962703</xdr:colOff>
      <xdr:row>142</xdr:row>
      <xdr:rowOff>207510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246063</xdr:colOff>
      <xdr:row>142</xdr:row>
      <xdr:rowOff>269875</xdr:rowOff>
    </xdr:from>
    <xdr:to>
      <xdr:col>13</xdr:col>
      <xdr:colOff>994453</xdr:colOff>
      <xdr:row>146</xdr:row>
      <xdr:rowOff>24947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254000</xdr:colOff>
      <xdr:row>146</xdr:row>
      <xdr:rowOff>63500</xdr:rowOff>
    </xdr:from>
    <xdr:to>
      <xdr:col>13</xdr:col>
      <xdr:colOff>1002390</xdr:colOff>
      <xdr:row>149</xdr:row>
      <xdr:rowOff>199572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230188</xdr:colOff>
      <xdr:row>149</xdr:row>
      <xdr:rowOff>269875</xdr:rowOff>
    </xdr:from>
    <xdr:to>
      <xdr:col>13</xdr:col>
      <xdr:colOff>978578</xdr:colOff>
      <xdr:row>153</xdr:row>
      <xdr:rowOff>24947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281745</xdr:colOff>
      <xdr:row>72</xdr:row>
      <xdr:rowOff>25950</xdr:rowOff>
    </xdr:from>
    <xdr:ext cx="2025739" cy="3537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𝑒𝑐𝑐</m:t>
                        </m:r>
                      </m:sub>
                    </m:sSub>
                    <m:r>
                      <a:rPr lang="es-ES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 </m:t>
                            </m:r>
                            <m:sSub>
                              <m:sSub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.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</m:sub>
                        </m:sSub>
                      </m:num>
                      <m:den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  <m:rad>
                              <m:radPr>
                                <m:degHide m:val="on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sub>
                        </m:sSub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s-CO" sz="1000" b="1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𝑒𝑐𝑐.𝑖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|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𝑚𝑎𝑥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2𝐿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000" b="1"/>
            </a:p>
          </xdr:txBody>
        </xdr:sp>
      </mc:Fallback>
    </mc:AlternateContent>
    <xdr:clientData/>
  </xdr:oneCellAnchor>
  <xdr:oneCellAnchor>
    <xdr:from>
      <xdr:col>10</xdr:col>
      <xdr:colOff>379344</xdr:colOff>
      <xdr:row>80</xdr:row>
      <xdr:rowOff>192983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3714344" y="32054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/>
        </a:p>
      </xdr:txBody>
    </xdr:sp>
    <xdr:clientData/>
  </xdr:oneCellAnchor>
  <xdr:oneCellAnchor>
    <xdr:from>
      <xdr:col>1</xdr:col>
      <xdr:colOff>256442</xdr:colOff>
      <xdr:row>59</xdr:row>
      <xdr:rowOff>117231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42267" y="250060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190625" y="221844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36370</xdr:colOff>
      <xdr:row>38</xdr:row>
      <xdr:rowOff>2596</xdr:rowOff>
    </xdr:from>
    <xdr:ext cx="796052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</a:rPr>
                    <m:t> 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d>
                        <m:dPr>
                          <m:begChr m:val="|"/>
                          <m:endChr m:val="|"/>
                          <m:ctrlPr>
                            <a:rPr lang="es-CO" sz="12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∆</m:t>
                              </m:r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𝑰</m:t>
                              </m:r>
                            </m:e>
                            <m:sub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𝒆𝒄𝒄</m:t>
                              </m:r>
                            </m:sub>
                          </m:sSub>
                        </m:e>
                      </m:d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</a:rPr>
                        <m:t>𝒎𝒂𝒙</m:t>
                      </m:r>
                    </m:sub>
                  </m:sSub>
                </m:oMath>
              </a14:m>
              <a:r>
                <a:rPr lang="es-CO" sz="1100" b="1" i="1"/>
                <a:t> </a:t>
              </a:r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</a:rPr>
                <a:t> </a:t>
              </a:r>
              <a:r>
                <a:rPr lang="es-CO" sz="12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|〖∆𝑰〗_𝒆𝒄𝒄 |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CO" sz="1400" b="1" i="0">
                  <a:latin typeface="Cambria Math" panose="02040503050406030204" pitchFamily="18" charset="0"/>
                </a:rPr>
                <a:t>𝒎𝒂𝒙</a:t>
              </a:r>
              <a:r>
                <a:rPr lang="es-CO" sz="1100" b="1" i="1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272761</xdr:colOff>
      <xdr:row>75</xdr:row>
      <xdr:rowOff>19050</xdr:rowOff>
    </xdr:from>
    <xdr:ext cx="2314575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𝒖</m:t>
                        </m:r>
                      </m:e>
                      <m:sup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𝑰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acc>
                          <m:accPr>
                            <m:chr m:val="̂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𝑤</m:t>
                            </m:r>
                          </m:e>
                        </m:acc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</m:sub>
                        </m:sSub>
                      </m:e>
                    </m:d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(𝑰)=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𝑑^2/6+𝑠^2 (𝐼)+ 𝑤 ̂^2 (𝛿𝐼_𝑒𝑐𝑐 ) 𝐼^2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Fallback>
    </mc:AlternateContent>
    <xdr:clientData/>
  </xdr:oneCellAnchor>
  <xdr:oneCellAnchor>
    <xdr:from>
      <xdr:col>2</xdr:col>
      <xdr:colOff>334242</xdr:colOff>
      <xdr:row>74</xdr:row>
      <xdr:rowOff>37234</xdr:rowOff>
    </xdr:from>
    <xdr:ext cx="1962150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</m:sub>
                        </m:sSub>
                      </m:e>
                    </m: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begChr m:val="⌈"/>
                        <m:endChr m:val="⌉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num>
                          <m:den>
                            <m:r>
                              <a:rPr lang="es-ES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ad>
                              <m:radPr>
                                <m:degHide m:val="on"/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den>
                        </m:f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2 </m:t>
                        </m:r>
                      </m:e>
                    </m:ra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 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⌈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⌉∗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=𝑑/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420832</xdr:colOff>
      <xdr:row>73</xdr:row>
      <xdr:rowOff>95250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𝑠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𝑗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)⁄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𝑟𝑒𝑝)=𝑠(𝐼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𝑗)⁄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367516</xdr:colOff>
      <xdr:row>80</xdr:row>
      <xdr:rowOff>91540</xdr:rowOff>
    </xdr:from>
    <xdr:ext cx="2714625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sSub>
                      <m:sSub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〖(𝑚〗_𝑟𝑒𝑓)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𝛿𝑚_𝑐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𝛿𝑚_𝐵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𝛿𝑚_𝐷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77437</xdr:colOff>
      <xdr:row>77</xdr:row>
      <xdr:rowOff>65314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𝐾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  )=𝑈/𝐾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129268</xdr:colOff>
      <xdr:row>99</xdr:row>
      <xdr:rowOff>81643</xdr:rowOff>
    </xdr:from>
    <xdr:ext cx="4102554" cy="285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INVERSA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T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STUDEND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.2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C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(100</m:t>
                    </m:r>
                    <m:r>
                      <a:rPr lang="es-CO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%−95,45%  ;</m:t>
                    </m:r>
                    <m:sSub>
                      <m:sSubPr>
                        <m:ctrlP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INVERSA.T STUDEND.2C(100%−95,45%  ;</a:t>
              </a:r>
              <a:r>
                <a:rPr lang="es-CO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860096</xdr:colOff>
      <xdr:row>78</xdr:row>
      <xdr:rowOff>39832</xdr:rowOff>
    </xdr:from>
    <xdr:ext cx="2238374" cy="3238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𝐵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70509</xdr:colOff>
      <xdr:row>79</xdr:row>
      <xdr:rowOff>56655</xdr:rowOff>
    </xdr:from>
    <xdr:ext cx="186690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3=𝑈/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758611</xdr:colOff>
      <xdr:row>82</xdr:row>
      <xdr:rowOff>85725</xdr:rowOff>
    </xdr:from>
    <xdr:ext cx="1851239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𝑟𝑒𝑓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(𝐸)=𝑢^2 (𝐼)+ 𝑢^2 (𝑚_𝑟𝑒𝑓 )</a:t>
              </a: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693570</xdr:colOff>
      <xdr:row>95</xdr:row>
      <xdr:rowOff>407242</xdr:rowOff>
    </xdr:from>
    <xdr:ext cx="1399595" cy="6706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  <m:r>
                      <a:rPr lang="es-CO" sz="1100" b="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f>
                      <m:f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</m:sub>
                          <m:sup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bSup>
                      </m:num>
                      <m:den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sub>
                                </m:sSub>
                              </m:sub>
                            </m:sSub>
                          </m:den>
                        </m:f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𝑟𝑒𝑓</m:t>
                                    </m:r>
                                  </m:sub>
                                </m:sSub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𝑚</m:t>
                                        </m:r>
                                      </m:e>
                                      <m:sub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𝑟𝑒𝑓</m:t>
                                        </m:r>
                                      </m:sub>
                                    </m:sSub>
                                  </m:sub>
                                </m:sSub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r>
                <a:rPr lang="es-CO" sz="1100" b="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</a:t>
              </a: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(𝑢_𝐸^4)/((𝑢_𝐼^4)/𝑣_(𝑖_𝐼 ) +(𝑢_(𝑚_𝑟𝑒𝑓)^4)/𝑣_(𝑖_(𝑚_𝑟𝑒𝑓 ) ) )</a:t>
              </a:r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611241</xdr:colOff>
      <xdr:row>93</xdr:row>
      <xdr:rowOff>425708</xdr:rowOff>
    </xdr:from>
    <xdr:ext cx="3444551" cy="6298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sSub>
                      <m:sSubPr>
                        <m:ctrlPr>
                          <a:rPr lang="es-CO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6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s-CO" sz="16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𝑟𝑒𝑓</m:t>
                                </m:r>
                              </m:sub>
                            </m:sSub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𝐶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𝐵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𝐵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〖</a:t>
              </a:r>
              <a:r>
                <a:rPr lang="es-ES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𝑚〗_𝑟𝑒𝑓)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=〖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𝑚_𝑟𝑒𝑓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𝑚〗_𝐶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𝑚〗_𝐵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𝑚〗_𝐷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952889</xdr:colOff>
      <xdr:row>89</xdr:row>
      <xdr:rowOff>57150</xdr:rowOff>
    </xdr:from>
    <xdr:ext cx="2819400" cy="552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𝑐𝑐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𝑟𝑒𝑝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−1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𝑑𝑖𝑔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(𝐼)=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𝑢^4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𝑐𝑐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〗^4/(𝑛 −1)+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820371</xdr:colOff>
      <xdr:row>103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4</xdr:col>
      <xdr:colOff>63743</xdr:colOff>
      <xdr:row>108</xdr:row>
      <xdr:rowOff>0</xdr:rowOff>
    </xdr:from>
    <xdr:ext cx="1717432" cy="3436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 + 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u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2(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Eappr</m:t>
                        </m:r>
                        <m:r>
                          <m:rPr>
                            <m:nor/>
                          </m:rPr>
                          <a:rPr lang="es-CO" sz="105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>
                            <a:effectLst/>
                          </a:rPr>
                          <m:t> </m:t>
                        </m:r>
                      </m:e>
                    </m:rad>
                  </m:oMath>
                </m:oMathPara>
              </a14:m>
              <a:endParaRPr lang="es-CO" sz="1050"/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latin typeface="Cambria Math" panose="02040503050406030204" pitchFamily="18" charset="0"/>
                </a:rPr>
                <a:t>√(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(𝑅(𝑑 𝑦 𝑠)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+ u2(Eappr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1050" i="0">
                  <a:effectLst/>
                </a:rPr>
                <a:t> </a:t>
              </a:r>
              <a:r>
                <a:rPr lang="es-CO" sz="1050" i="0">
                  <a:effectLst/>
                  <a:latin typeface="Cambria Math" panose="02040503050406030204" pitchFamily="18" charset="0"/>
                </a:rPr>
                <a:t>" )</a:t>
              </a:r>
              <a:endParaRPr lang="es-CO" sz="1050"/>
            </a:p>
          </xdr:txBody>
        </xdr:sp>
      </mc:Fallback>
    </mc:AlternateContent>
    <xdr:clientData/>
  </xdr:oneCellAnchor>
  <xdr:oneCellAnchor>
    <xdr:from>
      <xdr:col>0</xdr:col>
      <xdr:colOff>206953</xdr:colOff>
      <xdr:row>107</xdr:row>
      <xdr:rowOff>396585</xdr:rowOff>
    </xdr:from>
    <xdr:ext cx="561109" cy="3961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p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1" name="CuadroTexto 20"/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(1/(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(𝐸))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</a:t>
              </a:r>
              <a:r>
                <a:rPr lang="es-CO" sz="1100" b="0" i="0">
                  <a:latin typeface="Cambria Math" panose="02040503050406030204" pitchFamily="18" charset="0"/>
                </a:rPr>
                <a:t>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179242</xdr:colOff>
      <xdr:row>108</xdr:row>
      <xdr:rowOff>92652</xdr:rowOff>
    </xdr:from>
    <xdr:ext cx="60991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</m:e>
                    <m:sub>
                      <m:acc>
                        <m:accPr>
                          <m:chr m:val="̅"/>
                          <m:ctrlP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es-CO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sub>
                  </m:sSub>
                  <m:r>
                    <a:rPr lang="es-CO" sz="1100" i="1">
                      <a:latin typeface="Cambria Math" panose="02040503050406030204" pitchFamily="18" charset="0"/>
                    </a:rPr>
                    <m:t> 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𝐸_𝐼 ̅  </a:t>
              </a:r>
              <a:r>
                <a:rPr lang="es-CO" sz="1100" i="0">
                  <a:latin typeface="Cambria Math" panose="02040503050406030204" pitchFamily="18" charset="0"/>
                </a:rPr>
                <a:t> 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8</xdr:col>
      <xdr:colOff>365413</xdr:colOff>
      <xdr:row>53</xdr:row>
      <xdr:rowOff>127288</xdr:rowOff>
    </xdr:from>
    <xdr:ext cx="209609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10</xdr:col>
      <xdr:colOff>536863</xdr:colOff>
      <xdr:row>53</xdr:row>
      <xdr:rowOff>112567</xdr:rowOff>
    </xdr:from>
    <xdr:ext cx="15626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/>
                <a:t> g</a:t>
              </a: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/>
                <a:t> g</a:t>
              </a:r>
            </a:p>
          </xdr:txBody>
        </xdr:sp>
      </mc:Fallback>
    </mc:AlternateContent>
    <xdr:clientData/>
  </xdr:oneCellAnchor>
  <xdr:oneCellAnchor>
    <xdr:from>
      <xdr:col>11</xdr:col>
      <xdr:colOff>502227</xdr:colOff>
      <xdr:row>53</xdr:row>
      <xdr:rowOff>103908</xdr:rowOff>
    </xdr:from>
    <xdr:ext cx="32784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2</xdr:col>
      <xdr:colOff>254045</xdr:colOff>
      <xdr:row>108</xdr:row>
      <xdr:rowOff>96582</xdr:rowOff>
    </xdr:from>
    <xdr:ext cx="441852" cy="184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sSupPr>
                    <m:e>
                      <m:acc>
                        <m:accPr>
                          <m:chr m:val="̅"/>
                          <m:ctrlP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e>
                    <m:sup>
                      <m: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  <m:t>2</m:t>
                      </m:r>
                    </m:sup>
                  </m:sSup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∗</m:t>
                  </m:r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𝑝</m:t>
                  </m:r>
                </m:oMath>
              </a14:m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0" lang="es-CO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𝐼 ̅</a:t>
              </a:r>
              <a:r>
                <a:rPr kumimoji="0" lang="es-CO" sz="12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s-CO" sz="1200" b="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2∗𝑝</a:t>
              </a:r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90640</xdr:colOff>
      <xdr:row>116</xdr:row>
      <xdr:rowOff>228600</xdr:rowOff>
    </xdr:from>
    <xdr:ext cx="789584" cy="1434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</m:oMath>
              </a14:m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/ </m:t>
                  </m:r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  <m:sSup>
                    <m:sSupPr>
                      <m:ctrlPr>
                        <a:rPr lang="el-GR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𝑝𝐼</m:t>
                      </m:r>
                    </m:e>
                    <m:sup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</a:t>
              </a:r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/ 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𝛴〖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624477</xdr:colOff>
      <xdr:row>118</xdr:row>
      <xdr:rowOff>129886</xdr:rowOff>
    </xdr:from>
    <xdr:ext cx="441614" cy="1796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</m:e>
                    <m:sup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endParaRPr lang="es-CO" sz="1100" b="0" i="1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𝑝𝐼^2</a:t>
              </a:r>
              <a:endParaRPr lang="es-CO" sz="1100" b="0" i="1"/>
            </a:p>
          </xdr:txBody>
        </xdr:sp>
      </mc:Fallback>
    </mc:AlternateContent>
    <xdr:clientData/>
  </xdr:oneCellAnchor>
  <xdr:oneCellAnchor>
    <xdr:from>
      <xdr:col>3</xdr:col>
      <xdr:colOff>17319</xdr:colOff>
      <xdr:row>117</xdr:row>
      <xdr:rowOff>121227</xdr:rowOff>
    </xdr:from>
    <xdr:ext cx="808875" cy="184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SpPr txBox="1"/>
          </xdr:nvSpPr>
          <xdr:spPr>
            <a:xfrm>
              <a:off x="3360594" y="44517252"/>
              <a:ext cx="808875" cy="184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s</m:t>
                        </m:r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  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m</m:t>
                        </m:r>
                        <m: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á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xima</m:t>
                        </m:r>
                        <m:r>
                          <m:rPr>
                            <m:nor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rPr>
                          <m:t>  </m:t>
                        </m:r>
                        <m:r>
                          <m:rPr>
                            <m:nor/>
                          </m:rPr>
                          <a:rPr lang="es-CO" b="0" i="1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cs typeface="Times New Roman" panose="02020603050405020304" pitchFamily="18" charset="0"/>
                          </a:rPr>
                          <m:t> 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18469" y="43136127"/>
              <a:ext cx="775725" cy="175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〖"s  </a:t>
              </a:r>
              <a:r>
                <a:rPr lang="es-CO" sz="1100" b="0" i="0" baseline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maxima  </a:t>
              </a:r>
              <a:r>
                <a:rPr lang="es-CO" b="0" i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"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2</a:t>
              </a:r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67246</xdr:colOff>
      <xdr:row>118</xdr:row>
      <xdr:rowOff>15371</xdr:rowOff>
    </xdr:from>
    <xdr:ext cx="835559" cy="3473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f>
                          <m:fPr>
                            <m:ctrlP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p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  <m:r>
                          <m:rPr>
                            <m:nor/>
                          </m:rPr>
                          <a:rPr lang="es-CO" sz="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sSup>
                          <m:sSupPr>
                            <m:ctrlP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𝑚𝑎𝑥𝑖𝑚𝑎</m:t>
                            </m:r>
                          </m:e>
                          <m:sup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  <m:sup/>
                    </m:sSup>
                  </m:oMath>
                </m:oMathPara>
              </a14:m>
              <a:endParaRPr lang="es-CO" sz="1050" b="1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〖𝑑^2/6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es-CO" sz="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 </a:t>
              </a:r>
              <a:r>
                <a:rPr lang="es-CO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〖𝑠 𝑚𝑎𝑥𝑖𝑚𝑎〗^2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endParaRPr lang="es-CO" sz="1050" b="1"/>
            </a:p>
          </xdr:txBody>
        </xdr:sp>
      </mc:Fallback>
    </mc:AlternateContent>
    <xdr:clientData/>
  </xdr:oneCellAnchor>
  <xdr:oneCellAnchor>
    <xdr:from>
      <xdr:col>3</xdr:col>
      <xdr:colOff>129221</xdr:colOff>
      <xdr:row>108</xdr:row>
      <xdr:rowOff>57188</xdr:rowOff>
    </xdr:from>
    <xdr:ext cx="865910" cy="3377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acc>
                              <m:accPr>
                                <m:chr m:val="̅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</m:acc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∗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∗ </m:t>
                    </m:r>
                    <m:f>
                      <m:fPr>
                        <m:ctrlP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</m:oMath>
                </m:oMathPara>
              </a14:m>
              <a:endParaRPr lang="es-CO">
                <a:effectLst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〖〖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(𝐼 ̅〗^2  ∗𝑝)〗^2  ∗  𝑑^2/6</a:t>
              </a:r>
              <a:endParaRPr lang="es-CO">
                <a:effectLst/>
              </a:endParaRPr>
            </a:p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1105964</xdr:colOff>
      <xdr:row>114</xdr:row>
      <xdr:rowOff>71311</xdr:rowOff>
    </xdr:from>
    <xdr:ext cx="1109797" cy="2551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0100-000020000000}"/>
                </a:ext>
              </a:extLst>
            </xdr:cNvPr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2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  <m:sSub>
                        <m:sSubPr>
                          <m:ctrlP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𝑎</m:t>
                          </m:r>
                        </m:e>
                        <m:sub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∗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−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e>
                    <m:sup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:r>
                <a:rPr lang="es-CO" sz="12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𝑝〖(𝑎_1  ∗𝐼 −𝐸)〗^2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8</xdr:col>
      <xdr:colOff>593912</xdr:colOff>
      <xdr:row>116</xdr:row>
      <xdr:rowOff>33620</xdr:rowOff>
    </xdr:from>
    <xdr:ext cx="1916206" cy="313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14:m>
                <m:oMath xmlns:m="http://schemas.openxmlformats.org/officeDocument/2006/math">
                  <m:r>
                    <a:rPr lang="es-CO" sz="160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−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𝜐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|≤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𝛽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ad>
                    <m:radPr>
                      <m:degHide m:val="on"/>
                      <m:ctrlP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𝜐</m:t>
                      </m:r>
                    </m:e>
                  </m:rad>
                </m:oMath>
              </a14:m>
              <a:endParaRPr lang="es-CO" sz="16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:r>
                <a:rPr lang="es-CO" sz="160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−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 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𝜐 |≤ 𝛽 √2𝜐</a:t>
              </a:r>
              <a:endParaRPr lang="es-CO" sz="16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119816</xdr:colOff>
      <xdr:row>132</xdr:row>
      <xdr:rowOff>172452</xdr:rowOff>
    </xdr:from>
    <xdr:ext cx="695324" cy="1905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0100-000023000000}"/>
                </a:ext>
              </a:extLst>
            </xdr:cNvPr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 ∗ </m:t>
                    </m:r>
                    <m:sSup>
                      <m:sSup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latin typeface="Cambria Math" panose="02040503050406030204" pitchFamily="18" charset="0"/>
                          </a:rPr>
                          <m:t>u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𝑎_1  ∗ "u" ^2 (𝑅)</a:t>
              </a:r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9</xdr:col>
      <xdr:colOff>359019</xdr:colOff>
      <xdr:row>53</xdr:row>
      <xdr:rowOff>140678</xdr:rowOff>
    </xdr:from>
    <xdr:ext cx="35848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>
              <a:extLst>
                <a:ext uri="{FF2B5EF4-FFF2-40B4-BE49-F238E27FC236}">
                  <a16:creationId xmlns:a16="http://schemas.microsoft.com/office/drawing/2014/main" id="{00000000-0008-0000-0100-000024000000}"/>
                </a:ext>
              </a:extLst>
            </xdr:cNvPr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554005</xdr:colOff>
      <xdr:row>86</xdr:row>
      <xdr:rowOff>82614</xdr:rowOff>
    </xdr:from>
    <xdr:ext cx="595611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id="{00000000-0008-0000-0100-000025000000}"/>
                </a:ext>
              </a:extLst>
            </xdr:cNvPr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𝑒𝑐𝑐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564114</xdr:colOff>
      <xdr:row>88</xdr:row>
      <xdr:rowOff>116827</xdr:rowOff>
    </xdr:from>
    <xdr:ext cx="611065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>
              <a:extLst>
                <a:ext uri="{FF2B5EF4-FFF2-40B4-BE49-F238E27FC236}">
                  <a16:creationId xmlns:a16="http://schemas.microsoft.com/office/drawing/2014/main" id="{00000000-0008-0000-0100-000026000000}"/>
                </a:ext>
              </a:extLst>
            </xdr:cNvPr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𝑑𝑖𝑔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795049</xdr:colOff>
      <xdr:row>91</xdr:row>
      <xdr:rowOff>97194</xdr:rowOff>
    </xdr:from>
    <xdr:ext cx="591764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0100-000027000000}"/>
                </a:ext>
              </a:extLst>
            </xdr:cNvPr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3</xdr:col>
      <xdr:colOff>814484</xdr:colOff>
      <xdr:row>92</xdr:row>
      <xdr:rowOff>116632</xdr:rowOff>
    </xdr:from>
    <xdr:ext cx="592533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0100-000028000000}"/>
                </a:ext>
              </a:extLst>
            </xdr:cNvPr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781433</xdr:colOff>
      <xdr:row>93</xdr:row>
      <xdr:rowOff>116632</xdr:rowOff>
    </xdr:from>
    <xdr:ext cx="596189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>
              <a:extLst>
                <a:ext uri="{FF2B5EF4-FFF2-40B4-BE49-F238E27FC236}">
                  <a16:creationId xmlns:a16="http://schemas.microsoft.com/office/drawing/2014/main" id="{00000000-0008-0000-0100-000029000000}"/>
                </a:ext>
              </a:extLst>
            </xdr:cNvPr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523875</xdr:colOff>
      <xdr:row>87</xdr:row>
      <xdr:rowOff>95250</xdr:rowOff>
    </xdr:from>
    <xdr:ext cx="1267335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d>
                      <m:d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e>
                    </m:d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𝑛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−1   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(𝑟𝑒𝑝)=𝑛 −1   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95251</xdr:colOff>
      <xdr:row>123</xdr:row>
      <xdr:rowOff>67235</xdr:rowOff>
    </xdr:from>
    <xdr:to>
      <xdr:col>8</xdr:col>
      <xdr:colOff>974913</xdr:colOff>
      <xdr:row>130</xdr:row>
      <xdr:rowOff>425823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430894</xdr:colOff>
      <xdr:row>32</xdr:row>
      <xdr:rowOff>368400</xdr:rowOff>
    </xdr:from>
    <xdr:to>
      <xdr:col>11</xdr:col>
      <xdr:colOff>515738</xdr:colOff>
      <xdr:row>37</xdr:row>
      <xdr:rowOff>312962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1394" y="13862150"/>
          <a:ext cx="4529844" cy="216706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462643</xdr:colOff>
      <xdr:row>53</xdr:row>
      <xdr:rowOff>136073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>
              <a:extLst>
                <a:ext uri="{FF2B5EF4-FFF2-40B4-BE49-F238E27FC236}">
                  <a16:creationId xmlns:a16="http://schemas.microsoft.com/office/drawing/2014/main" id="{00000000-0008-0000-0100-000035000000}"/>
                </a:ext>
              </a:extLst>
            </xdr:cNvPr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 baseline="0">
                      <a:latin typeface="Cambria Math" panose="02040503050406030204" pitchFamily="18" charset="0"/>
                    </a:rPr>
                    <m:t> 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 </a:t>
              </a:r>
              <a:r>
                <a:rPr lang="es-CO" sz="1100" b="0" i="0">
                  <a:latin typeface="Cambria Math" panose="02040503050406030204" pitchFamily="18" charset="0"/>
                </a:rPr>
                <a:t>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462642</xdr:colOff>
      <xdr:row>53</xdr:row>
      <xdr:rowOff>122464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:cNvPr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𝑚𝑔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</a:t>
              </a:r>
              <a:r>
                <a:rPr lang="es-CO" sz="1100" b="0" i="0">
                  <a:latin typeface="Cambria Math" panose="02040503050406030204" pitchFamily="18" charset="0"/>
                </a:rPr>
                <a:t>𝑚𝑔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133350</xdr:colOff>
      <xdr:row>0</xdr:row>
      <xdr:rowOff>171450</xdr:rowOff>
    </xdr:from>
    <xdr:to>
      <xdr:col>1</xdr:col>
      <xdr:colOff>1009650</xdr:colOff>
      <xdr:row>2</xdr:row>
      <xdr:rowOff>272895</xdr:rowOff>
    </xdr:to>
    <xdr:pic>
      <xdr:nvPicPr>
        <xdr:cNvPr id="50" name="Picture 1" descr="\\Abeltran\publico\Logo completo.gif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990725" cy="977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820371</xdr:colOff>
      <xdr:row>104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:a16="http://schemas.microsoft.com/office/drawing/2014/main" id="{00000000-0008-0000-0100-000031000000}"/>
                </a:ext>
              </a:extLst>
            </xdr:cNvPr>
            <xdr:cNvSpPr txBox="1"/>
          </xdr:nvSpPr>
          <xdr:spPr>
            <a:xfrm>
              <a:off x="4154121" y="41816867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100-000013000000}"/>
                </a:ext>
              </a:extLst>
            </xdr:cNvPr>
            <xdr:cNvSpPr txBox="1"/>
          </xdr:nvSpPr>
          <xdr:spPr>
            <a:xfrm>
              <a:off x="4154121" y="41816867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twoCellAnchor>
    <xdr:from>
      <xdr:col>4</xdr:col>
      <xdr:colOff>31750</xdr:colOff>
      <xdr:row>64</xdr:row>
      <xdr:rowOff>21166</xdr:rowOff>
    </xdr:from>
    <xdr:to>
      <xdr:col>5</xdr:col>
      <xdr:colOff>21167</xdr:colOff>
      <xdr:row>64</xdr:row>
      <xdr:rowOff>444500</xdr:rowOff>
    </xdr:to>
    <xdr:cxnSp macro="">
      <xdr:nvCxnSpPr>
        <xdr:cNvPr id="45" name="Conector recto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>
        <a:xfrm flipV="1">
          <a:off x="4476750" y="26648833"/>
          <a:ext cx="1206500" cy="4233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64</xdr:row>
      <xdr:rowOff>0</xdr:rowOff>
    </xdr:from>
    <xdr:to>
      <xdr:col>7</xdr:col>
      <xdr:colOff>95250</xdr:colOff>
      <xdr:row>64</xdr:row>
      <xdr:rowOff>423334</xdr:rowOff>
    </xdr:to>
    <xdr:cxnSp macro="">
      <xdr:nvCxnSpPr>
        <xdr:cNvPr id="54" name="Conector recto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/>
      </xdr:nvCxnSpPr>
      <xdr:spPr>
        <a:xfrm flipV="1">
          <a:off x="6773333" y="26627667"/>
          <a:ext cx="1206500" cy="4233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64</xdr:row>
      <xdr:rowOff>0</xdr:rowOff>
    </xdr:from>
    <xdr:to>
      <xdr:col>9</xdr:col>
      <xdr:colOff>95250</xdr:colOff>
      <xdr:row>64</xdr:row>
      <xdr:rowOff>423334</xdr:rowOff>
    </xdr:to>
    <xdr:cxnSp macro="">
      <xdr:nvCxnSpPr>
        <xdr:cNvPr id="55" name="Conector recto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 flipV="1">
          <a:off x="8995833" y="26627667"/>
          <a:ext cx="1206500" cy="42333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</xdr:colOff>
      <xdr:row>117</xdr:row>
      <xdr:rowOff>42333</xdr:rowOff>
    </xdr:from>
    <xdr:to>
      <xdr:col>11</xdr:col>
      <xdr:colOff>0</xdr:colOff>
      <xdr:row>118</xdr:row>
      <xdr:rowOff>0</xdr:rowOff>
    </xdr:to>
    <xdr:cxnSp macro="">
      <xdr:nvCxnSpPr>
        <xdr:cNvPr id="47" name="Conector recto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/>
      </xdr:nvCxnSpPr>
      <xdr:spPr>
        <a:xfrm flipV="1">
          <a:off x="11250083" y="47879000"/>
          <a:ext cx="1079500" cy="391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1079500</xdr:colOff>
      <xdr:row>117</xdr:row>
      <xdr:rowOff>391583</xdr:rowOff>
    </xdr:to>
    <xdr:cxnSp macro="">
      <xdr:nvCxnSpPr>
        <xdr:cNvPr id="56" name="Conector recto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 flipV="1">
          <a:off x="6773333" y="47836667"/>
          <a:ext cx="1079500" cy="391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1079500</xdr:colOff>
      <xdr:row>116</xdr:row>
      <xdr:rowOff>391583</xdr:rowOff>
    </xdr:to>
    <xdr:cxnSp macro="">
      <xdr:nvCxnSpPr>
        <xdr:cNvPr id="57" name="Conector recto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 flipV="1">
          <a:off x="6773333" y="47402750"/>
          <a:ext cx="1079500" cy="391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1079500</xdr:colOff>
      <xdr:row>121</xdr:row>
      <xdr:rowOff>391583</xdr:rowOff>
    </xdr:to>
    <xdr:cxnSp macro="">
      <xdr:nvCxnSpPr>
        <xdr:cNvPr id="59" name="Conector recto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 flipV="1">
          <a:off x="7884583" y="49265417"/>
          <a:ext cx="1079500" cy="391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198560</xdr:colOff>
      <xdr:row>71</xdr:row>
      <xdr:rowOff>116498</xdr:rowOff>
    </xdr:from>
    <xdr:to>
      <xdr:col>5</xdr:col>
      <xdr:colOff>609376</xdr:colOff>
      <xdr:row>76</xdr:row>
      <xdr:rowOff>112481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3002" y="16308998"/>
          <a:ext cx="2397370" cy="118291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257174</xdr:colOff>
      <xdr:row>157</xdr:row>
      <xdr:rowOff>133350</xdr:rowOff>
    </xdr:from>
    <xdr:ext cx="295275" cy="37568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57174" y="36947475"/>
          <a:ext cx="29527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CO" sz="2400"/>
        </a:p>
      </xdr:txBody>
    </xdr:sp>
    <xdr:clientData/>
  </xdr:oneCellAnchor>
  <xdr:twoCellAnchor>
    <xdr:from>
      <xdr:col>0</xdr:col>
      <xdr:colOff>198785</xdr:colOff>
      <xdr:row>122</xdr:row>
      <xdr:rowOff>157368</xdr:rowOff>
    </xdr:from>
    <xdr:to>
      <xdr:col>5</xdr:col>
      <xdr:colOff>704024</xdr:colOff>
      <xdr:row>138</xdr:row>
      <xdr:rowOff>157369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304800</xdr:colOff>
      <xdr:row>185</xdr:row>
      <xdr:rowOff>95983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304800</xdr:colOff>
      <xdr:row>185</xdr:row>
      <xdr:rowOff>95983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223009</xdr:colOff>
      <xdr:row>157</xdr:row>
      <xdr:rowOff>37892</xdr:rowOff>
    </xdr:from>
    <xdr:ext cx="2243138" cy="264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23009" y="307083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</m:t>
                          </m:r>
                        </m:e>
                        <m:sup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</m:sup>
                      </m:sSup>
                    </m:e>
                  </m:d>
                  <m:r>
                    <a:rPr lang="es-CO" sz="14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s-CO" sz="14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𝑬</m:t>
                          </m:r>
                        </m:e>
                      </m:d>
                      <m:r>
                        <a:rPr lang="es-CO" sz="1400" b="1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𝑹</m:t>
                          </m:r>
                        </m:e>
                      </m:d>
                    </m:e>
                  </m:rad>
                </m:oMath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223009" y="307083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(𝑾^∗ )+</a:t>
              </a:r>
              <a:r>
                <a:rPr lang="es-CO" sz="1400" b="1" i="0">
                  <a:latin typeface="Cambria Math" panose="02040503050406030204" pitchFamily="18" charset="0"/>
                </a:rPr>
                <a:t>=√(𝒖^𝟐 (𝑬)+𝒖^𝟐 (𝑹) )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3</xdr:col>
      <xdr:colOff>3728</xdr:colOff>
      <xdr:row>156</xdr:row>
      <xdr:rowOff>115957</xdr:rowOff>
    </xdr:from>
    <xdr:ext cx="2028063" cy="523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935771" y="305959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</m:e>
                          <m:sup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r>
                      <a:rPr lang="es-CO" sz="1400" b="1" i="1"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𝒔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2935771" y="305959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𝒖^𝟐 (𝑹)=𝒅^𝟐/𝟔+𝒔^𝟐 (𝑹)</a:t>
              </a:r>
              <a:endParaRPr lang="es-CO" sz="1400" b="1"/>
            </a:p>
          </xdr:txBody>
        </xdr:sp>
      </mc:Fallback>
    </mc:AlternateContent>
    <xdr:clientData/>
  </xdr:oneCellAnchor>
  <xdr:twoCellAnchor>
    <xdr:from>
      <xdr:col>0</xdr:col>
      <xdr:colOff>0</xdr:colOff>
      <xdr:row>56</xdr:row>
      <xdr:rowOff>8282</xdr:rowOff>
    </xdr:from>
    <xdr:to>
      <xdr:col>0</xdr:col>
      <xdr:colOff>969065</xdr:colOff>
      <xdr:row>57</xdr:row>
      <xdr:rowOff>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0" y="11214652"/>
          <a:ext cx="969065" cy="24019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969065</xdr:colOff>
      <xdr:row>56</xdr:row>
      <xdr:rowOff>240198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 flipV="1">
          <a:off x="977348" y="11206370"/>
          <a:ext cx="969065" cy="24019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969065</xdr:colOff>
      <xdr:row>56</xdr:row>
      <xdr:rowOff>240198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V="1">
          <a:off x="1954696" y="11206370"/>
          <a:ext cx="969065" cy="24019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guirre/Desktop/Directos/Funcionarios/SISTEMA%20GESTION%20DE%20CALIDAD/Laboratorios%20de%20masas%20y%20volumen%20(RT03)/Calibraciones%20Balanzas/Calibraciones%20casa%20consumidor%20Popayan/CER%200.012%20Casa%20del%20Consumidor%20Popay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s\Funcionarios\SISTEMA%20GESTION%20DE%20CALIDAD\Laboratorios%20de%20masas%20y%20volumen%20(RT03)\Calibraciones%20Balanzas\Calibraciones%20casa%20consumidor%20Popayan\CER%200.009%20Casa%20del%20Consumidor%20Popay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VARGAS/Desktop/hoja%20balanzas/CERTIFICADO%200008%20Pedro%20Vargas%20Barranquilla%20(Autoguardado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s\Funcionarios\SISTEMA%20GESTION%20DE%20CALIDAD\Laboratorios%20de%20masas%20y%20volumen%20(RT03)\Calibraciones%20Balanzas\Calibraci&#243;n%20casa%20del%20consumidor%20Pasto\CER%200.012%20Casa%20del%20Consumidor%20P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 refreshError="1"/>
      <sheetData sheetId="1" refreshError="1"/>
      <sheetData sheetId="2" refreshError="1"/>
      <sheetData sheetId="3">
        <row r="21">
          <cell r="C21">
            <v>-6.7440415040991324E-6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>
        <row r="13">
          <cell r="E13">
            <v>0.1</v>
          </cell>
        </row>
      </sheetData>
      <sheetData sheetId="1">
        <row r="11">
          <cell r="H11">
            <v>5000</v>
          </cell>
        </row>
        <row r="18">
          <cell r="G18">
            <v>199.9999999998181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AL"/>
      <sheetName val="RESULTADOS"/>
      <sheetName val="Certificado 0,008"/>
    </sheetNames>
    <sheetDataSet>
      <sheetData sheetId="0"/>
      <sheetData sheetId="1"/>
      <sheetData sheetId="2">
        <row r="32">
          <cell r="G32">
            <v>2.3198094410224317</v>
          </cell>
          <cell r="H32">
            <v>2.1404966299111416</v>
          </cell>
          <cell r="I32">
            <v>2.0448204509932868</v>
          </cell>
          <cell r="J32">
            <v>2.0231982834557294</v>
          </cell>
          <cell r="K32">
            <v>2.0240923077978925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12"/>
    </sheetNames>
    <sheetDataSet>
      <sheetData sheetId="0">
        <row r="12">
          <cell r="G12" t="str">
            <v>g</v>
          </cell>
        </row>
      </sheetData>
      <sheetData sheetId="1">
        <row r="11">
          <cell r="B11" t="str">
            <v>CARGA (g)</v>
          </cell>
        </row>
        <row r="18">
          <cell r="F18" t="str">
            <v>DIF MAX EXC</v>
          </cell>
        </row>
      </sheetData>
      <sheetData sheetId="2"/>
      <sheetData sheetId="3"/>
      <sheetData sheetId="4">
        <row r="6">
          <cell r="C6" t="str">
            <v>ERROR (mg)</v>
          </cell>
        </row>
        <row r="23">
          <cell r="I23" t="str">
            <v xml:space="preserve">                + 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externalLinkPath" Target="/Users/CA32F~1.YAH/AppData/Local/Temp/Rar$DIa0.424/RT03-F12.Vr.1(2017-04-47).xlsx" TargetMode="External"/><Relationship Id="rId1" Type="http://schemas.openxmlformats.org/officeDocument/2006/relationships/externalLinkPath" Target="/Users/CA32F~1.YAH/AppData/Local/Temp/Rar$DIa0.424/RT03-F12.Vr.1(2017-04-47).xlsx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E202"/>
  <sheetViews>
    <sheetView showGridLines="0" view="pageBreakPreview" topLeftCell="I4" zoomScale="136" zoomScaleNormal="20" zoomScaleSheetLayoutView="136" workbookViewId="0">
      <selection activeCell="N11" sqref="N11"/>
    </sheetView>
  </sheetViews>
  <sheetFormatPr baseColWidth="10" defaultColWidth="15.7109375" defaultRowHeight="15" x14ac:dyDescent="0.2"/>
  <cols>
    <col min="1" max="1" width="15.7109375" style="285"/>
    <col min="2" max="14" width="20.7109375" style="285" customWidth="1"/>
    <col min="15" max="16" width="20.7109375" style="287" customWidth="1"/>
    <col min="17" max="17" width="24.28515625" style="287" customWidth="1"/>
    <col min="18" max="26" width="20.7109375" style="287" customWidth="1"/>
    <col min="27" max="33" width="20.7109375" style="285" customWidth="1"/>
    <col min="34" max="34" width="19.85546875" style="285" bestFit="1" customWidth="1"/>
    <col min="35" max="38" width="15.85546875" style="285" bestFit="1" customWidth="1"/>
    <col min="39" max="43" width="16" style="285" customWidth="1"/>
    <col min="44" max="47" width="10.7109375" style="285" customWidth="1"/>
    <col min="48" max="48" width="16" style="285" bestFit="1" customWidth="1"/>
    <col min="49" max="49" width="15.85546875" style="285" bestFit="1" customWidth="1"/>
    <col min="50" max="50" width="20.7109375" style="285" bestFit="1" customWidth="1"/>
    <col min="51" max="51" width="15.85546875" style="285" bestFit="1" customWidth="1"/>
    <col min="52" max="52" width="15.7109375" style="285"/>
    <col min="53" max="53" width="20" style="285" customWidth="1"/>
    <col min="54" max="55" width="10.7109375" style="285" customWidth="1"/>
    <col min="56" max="16384" width="15.7109375" style="285"/>
  </cols>
  <sheetData>
    <row r="1" spans="2:83" ht="30" customHeight="1" x14ac:dyDescent="0.2"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2:83" ht="30" customHeight="1" thickBot="1" x14ac:dyDescent="0.25"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2:83" ht="30" customHeight="1" x14ac:dyDescent="0.2">
      <c r="B3" s="286"/>
      <c r="C3" s="507" t="s">
        <v>187</v>
      </c>
      <c r="D3" s="508"/>
      <c r="E3" s="508"/>
      <c r="F3" s="508"/>
      <c r="G3" s="508"/>
      <c r="H3" s="508"/>
      <c r="I3" s="508"/>
      <c r="J3" s="508"/>
      <c r="K3" s="509"/>
      <c r="L3" s="286"/>
      <c r="M3" s="286"/>
    </row>
    <row r="4" spans="2:83" ht="30" customHeight="1" thickBot="1" x14ac:dyDescent="0.25">
      <c r="B4" s="286"/>
      <c r="C4" s="510"/>
      <c r="D4" s="511"/>
      <c r="E4" s="511"/>
      <c r="F4" s="511"/>
      <c r="G4" s="511"/>
      <c r="H4" s="511"/>
      <c r="I4" s="511"/>
      <c r="J4" s="511"/>
      <c r="K4" s="512"/>
      <c r="L4" s="286"/>
      <c r="M4" s="286"/>
    </row>
    <row r="5" spans="2:83" ht="30" customHeight="1" thickBot="1" x14ac:dyDescent="0.25">
      <c r="B5" s="286"/>
      <c r="C5" s="529" t="s">
        <v>188</v>
      </c>
      <c r="D5" s="531" t="s">
        <v>7</v>
      </c>
      <c r="E5" s="531" t="s">
        <v>189</v>
      </c>
      <c r="F5" s="531" t="s">
        <v>8</v>
      </c>
      <c r="G5" s="531" t="s">
        <v>77</v>
      </c>
      <c r="H5" s="531" t="s">
        <v>190</v>
      </c>
      <c r="I5" s="531" t="s">
        <v>84</v>
      </c>
      <c r="J5" s="531" t="s">
        <v>191</v>
      </c>
      <c r="K5" s="533" t="s">
        <v>192</v>
      </c>
      <c r="L5" s="672" t="s">
        <v>413</v>
      </c>
      <c r="M5" s="480"/>
    </row>
    <row r="6" spans="2:83" ht="30" customHeight="1" thickBot="1" x14ac:dyDescent="0.25">
      <c r="B6" s="286"/>
      <c r="C6" s="530"/>
      <c r="D6" s="532"/>
      <c r="E6" s="532"/>
      <c r="F6" s="532"/>
      <c r="G6" s="532"/>
      <c r="H6" s="532"/>
      <c r="I6" s="532"/>
      <c r="J6" s="532"/>
      <c r="K6" s="534"/>
      <c r="L6" s="673"/>
      <c r="M6" s="482" t="s">
        <v>414</v>
      </c>
      <c r="N6" s="482" t="s">
        <v>415</v>
      </c>
    </row>
    <row r="7" spans="2:83" ht="30" customHeight="1" thickBot="1" x14ac:dyDescent="0.25">
      <c r="B7" s="286"/>
      <c r="C7" s="288"/>
      <c r="D7" s="277"/>
      <c r="E7" s="277"/>
      <c r="F7" s="277"/>
      <c r="G7" s="277"/>
      <c r="H7" s="277"/>
      <c r="I7" s="277"/>
      <c r="J7" s="277"/>
      <c r="K7" s="278"/>
      <c r="L7" s="286"/>
      <c r="M7" s="482"/>
      <c r="N7" s="488"/>
    </row>
    <row r="8" spans="2:83" s="291" customFormat="1" ht="30" customHeight="1" thickBot="1" x14ac:dyDescent="0.25">
      <c r="B8" s="289"/>
      <c r="C8" s="290"/>
      <c r="D8" s="279"/>
      <c r="E8" s="280"/>
      <c r="F8" s="281"/>
      <c r="G8" s="281"/>
      <c r="H8" s="281"/>
      <c r="I8" s="280"/>
      <c r="J8" s="279"/>
      <c r="K8" s="282"/>
      <c r="L8" s="480"/>
      <c r="M8" s="489">
        <v>2</v>
      </c>
      <c r="N8" s="490">
        <v>0.95450000000000002</v>
      </c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CD8" s="285"/>
      <c r="CE8" s="285"/>
    </row>
    <row r="9" spans="2:83" s="291" customFormat="1" ht="30" customHeight="1" thickBot="1" x14ac:dyDescent="0.25">
      <c r="B9" s="289"/>
      <c r="C9" s="292"/>
      <c r="D9" s="283"/>
      <c r="E9" s="283"/>
      <c r="F9" s="283"/>
      <c r="G9" s="283"/>
      <c r="H9" s="283"/>
      <c r="I9" s="283"/>
      <c r="J9" s="283"/>
      <c r="K9" s="284"/>
      <c r="L9" s="289"/>
      <c r="M9" s="286"/>
      <c r="N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CD9" s="285"/>
      <c r="CE9" s="285"/>
    </row>
    <row r="10" spans="2:83" s="291" customFormat="1" ht="30" customHeight="1" x14ac:dyDescent="0.2"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6"/>
      <c r="N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CD10" s="285"/>
      <c r="CE10" s="285"/>
    </row>
    <row r="11" spans="2:83" s="291" customFormat="1" ht="30" customHeight="1" thickBot="1" x14ac:dyDescent="0.25"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6"/>
      <c r="N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CD11" s="285"/>
      <c r="CE11" s="285"/>
    </row>
    <row r="12" spans="2:83" s="291" customFormat="1" ht="30" customHeight="1" x14ac:dyDescent="0.2">
      <c r="B12" s="289"/>
      <c r="C12" s="551" t="s">
        <v>310</v>
      </c>
      <c r="D12" s="552"/>
      <c r="E12" s="552"/>
      <c r="F12" s="552"/>
      <c r="G12" s="552"/>
      <c r="H12" s="552"/>
      <c r="I12" s="552"/>
      <c r="J12" s="552"/>
      <c r="K12" s="552"/>
      <c r="L12" s="553"/>
      <c r="M12" s="286"/>
      <c r="N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CD12" s="285"/>
      <c r="CE12" s="285"/>
    </row>
    <row r="13" spans="2:83" ht="30" customHeight="1" thickBot="1" x14ac:dyDescent="0.25">
      <c r="B13" s="289"/>
      <c r="C13" s="554"/>
      <c r="D13" s="555"/>
      <c r="E13" s="555"/>
      <c r="F13" s="555"/>
      <c r="G13" s="555"/>
      <c r="H13" s="555"/>
      <c r="I13" s="555"/>
      <c r="J13" s="555"/>
      <c r="K13" s="555"/>
      <c r="L13" s="556"/>
      <c r="M13" s="286"/>
    </row>
    <row r="14" spans="2:83" ht="30" customHeight="1" x14ac:dyDescent="0.2">
      <c r="B14" s="289"/>
      <c r="C14" s="557" t="s">
        <v>188</v>
      </c>
      <c r="D14" s="559" t="s">
        <v>3</v>
      </c>
      <c r="E14" s="559" t="s">
        <v>9</v>
      </c>
      <c r="F14" s="559" t="s">
        <v>1</v>
      </c>
      <c r="G14" s="561" t="s">
        <v>46</v>
      </c>
      <c r="H14" s="561" t="s">
        <v>49</v>
      </c>
      <c r="I14" s="559" t="s">
        <v>321</v>
      </c>
      <c r="J14" s="563" t="s">
        <v>68</v>
      </c>
      <c r="K14" s="565" t="s">
        <v>191</v>
      </c>
      <c r="L14" s="567" t="s">
        <v>250</v>
      </c>
      <c r="M14" s="286"/>
    </row>
    <row r="15" spans="2:83" ht="30" customHeight="1" thickBot="1" x14ac:dyDescent="0.25">
      <c r="B15" s="289"/>
      <c r="C15" s="558"/>
      <c r="D15" s="560"/>
      <c r="E15" s="560"/>
      <c r="F15" s="560"/>
      <c r="G15" s="562"/>
      <c r="H15" s="562"/>
      <c r="I15" s="560"/>
      <c r="J15" s="564"/>
      <c r="K15" s="566"/>
      <c r="L15" s="568"/>
      <c r="M15" s="286"/>
    </row>
    <row r="16" spans="2:83" ht="30" customHeight="1" x14ac:dyDescent="0.2">
      <c r="B16" s="289"/>
      <c r="C16" s="288"/>
      <c r="D16" s="277"/>
      <c r="E16" s="277"/>
      <c r="F16" s="277"/>
      <c r="G16" s="277"/>
      <c r="H16" s="277"/>
      <c r="I16" s="277"/>
      <c r="J16" s="277"/>
      <c r="K16" s="277"/>
      <c r="L16" s="278"/>
      <c r="M16" s="286"/>
    </row>
    <row r="17" spans="2:46" ht="30" customHeight="1" x14ac:dyDescent="0.2">
      <c r="B17" s="289"/>
      <c r="C17" s="290"/>
      <c r="D17" s="281"/>
      <c r="E17" s="281"/>
      <c r="F17" s="281"/>
      <c r="G17" s="281"/>
      <c r="H17" s="281"/>
      <c r="I17" s="281"/>
      <c r="J17" s="281"/>
      <c r="K17" s="281"/>
      <c r="L17" s="293"/>
      <c r="M17" s="286"/>
    </row>
    <row r="18" spans="2:46" ht="30" customHeight="1" thickBot="1" x14ac:dyDescent="0.25">
      <c r="B18" s="289"/>
      <c r="C18" s="294"/>
      <c r="D18" s="295"/>
      <c r="E18" s="295"/>
      <c r="F18" s="295"/>
      <c r="G18" s="296"/>
      <c r="H18" s="296"/>
      <c r="I18" s="295"/>
      <c r="J18" s="295"/>
      <c r="K18" s="296"/>
      <c r="L18" s="297"/>
      <c r="M18" s="286"/>
    </row>
    <row r="19" spans="2:46" ht="30" customHeight="1" x14ac:dyDescent="0.2"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6"/>
    </row>
    <row r="20" spans="2:46" ht="30" customHeight="1" x14ac:dyDescent="0.2"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6"/>
      <c r="AS20" s="289"/>
      <c r="AT20" s="286"/>
    </row>
    <row r="21" spans="2:46" ht="30" customHeight="1" x14ac:dyDescent="0.2"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6"/>
      <c r="AS21" s="289"/>
      <c r="AT21" s="286"/>
    </row>
    <row r="22" spans="2:46" ht="30" customHeight="1" thickBot="1" x14ac:dyDescent="0.25"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6"/>
      <c r="AS22" s="289"/>
      <c r="AT22" s="286"/>
    </row>
    <row r="23" spans="2:46" ht="30" customHeight="1" x14ac:dyDescent="0.2">
      <c r="B23" s="289"/>
      <c r="C23" s="507" t="s">
        <v>317</v>
      </c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9"/>
      <c r="AS23" s="289"/>
      <c r="AT23" s="286"/>
    </row>
    <row r="24" spans="2:46" ht="30" customHeight="1" thickBot="1" x14ac:dyDescent="0.25">
      <c r="B24" s="289"/>
      <c r="C24" s="510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2"/>
      <c r="AS24" s="289"/>
      <c r="AT24" s="286"/>
    </row>
    <row r="25" spans="2:46" ht="30" customHeight="1" x14ac:dyDescent="0.2">
      <c r="B25" s="289"/>
      <c r="C25" s="523" t="s">
        <v>193</v>
      </c>
      <c r="D25" s="525" t="s">
        <v>0</v>
      </c>
      <c r="E25" s="525" t="s">
        <v>3</v>
      </c>
      <c r="F25" s="525" t="s">
        <v>1</v>
      </c>
      <c r="G25" s="525" t="s">
        <v>194</v>
      </c>
      <c r="H25" s="525" t="s">
        <v>192</v>
      </c>
      <c r="I25" s="521" t="s">
        <v>84</v>
      </c>
      <c r="J25" s="521" t="s">
        <v>195</v>
      </c>
      <c r="K25" s="527" t="s">
        <v>318</v>
      </c>
      <c r="L25" s="527" t="s">
        <v>319</v>
      </c>
      <c r="M25" s="525" t="s">
        <v>196</v>
      </c>
      <c r="N25" s="527" t="s">
        <v>324</v>
      </c>
      <c r="O25" s="521" t="s">
        <v>197</v>
      </c>
      <c r="P25" s="521" t="s">
        <v>366</v>
      </c>
      <c r="Q25" s="519" t="s">
        <v>198</v>
      </c>
      <c r="R25" s="505" t="s">
        <v>126</v>
      </c>
      <c r="AS25" s="289"/>
    </row>
    <row r="26" spans="2:46" ht="30" customHeight="1" thickBot="1" x14ac:dyDescent="0.25">
      <c r="B26" s="289"/>
      <c r="C26" s="524"/>
      <c r="D26" s="526"/>
      <c r="E26" s="526"/>
      <c r="F26" s="526"/>
      <c r="G26" s="526"/>
      <c r="H26" s="526"/>
      <c r="I26" s="522"/>
      <c r="J26" s="522"/>
      <c r="K26" s="528"/>
      <c r="L26" s="528"/>
      <c r="M26" s="526"/>
      <c r="N26" s="528"/>
      <c r="O26" s="522"/>
      <c r="P26" s="522"/>
      <c r="Q26" s="520"/>
      <c r="R26" s="506"/>
      <c r="AS26" s="289"/>
    </row>
    <row r="27" spans="2:46" ht="30" customHeight="1" thickBot="1" x14ac:dyDescent="0.25">
      <c r="B27" s="289"/>
      <c r="C27" s="298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300"/>
      <c r="R27" s="301"/>
      <c r="AS27" s="289"/>
    </row>
    <row r="28" spans="2:46" ht="30" customHeight="1" x14ac:dyDescent="0.2">
      <c r="B28" s="502" t="s">
        <v>327</v>
      </c>
      <c r="C28" s="321" t="s">
        <v>311</v>
      </c>
      <c r="D28" s="388" t="s">
        <v>316</v>
      </c>
      <c r="E28" s="388" t="s">
        <v>264</v>
      </c>
      <c r="F28" s="388" t="s">
        <v>265</v>
      </c>
      <c r="G28" s="388" t="s">
        <v>266</v>
      </c>
      <c r="H28" s="388" t="s">
        <v>322</v>
      </c>
      <c r="I28" s="323">
        <v>42683</v>
      </c>
      <c r="J28" s="388">
        <v>5</v>
      </c>
      <c r="K28" s="388">
        <v>5</v>
      </c>
      <c r="L28" s="388">
        <v>100</v>
      </c>
      <c r="M28" s="325">
        <v>0.09</v>
      </c>
      <c r="N28" s="324">
        <f>J28+(M28)/1000</f>
        <v>5.0000900000000001</v>
      </c>
      <c r="O28" s="388">
        <v>5.2999999999999999E-2</v>
      </c>
      <c r="P28" s="306">
        <v>0.88529999999999998</v>
      </c>
      <c r="Q28" s="388" t="s">
        <v>323</v>
      </c>
      <c r="R28" s="327" t="s">
        <v>329</v>
      </c>
      <c r="AS28" s="289"/>
    </row>
    <row r="29" spans="2:46" ht="30" customHeight="1" x14ac:dyDescent="0.2">
      <c r="B29" s="503"/>
      <c r="C29" s="308" t="s">
        <v>312</v>
      </c>
      <c r="D29" s="389" t="s">
        <v>316</v>
      </c>
      <c r="E29" s="389" t="s">
        <v>264</v>
      </c>
      <c r="F29" s="389" t="s">
        <v>265</v>
      </c>
      <c r="G29" s="389" t="s">
        <v>266</v>
      </c>
      <c r="H29" s="389" t="s">
        <v>322</v>
      </c>
      <c r="I29" s="310">
        <v>42683</v>
      </c>
      <c r="J29" s="389">
        <v>200</v>
      </c>
      <c r="K29" s="389">
        <v>10</v>
      </c>
      <c r="L29" s="389">
        <v>200</v>
      </c>
      <c r="M29" s="389">
        <v>0.05</v>
      </c>
      <c r="N29" s="311">
        <f t="shared" ref="N29:N32" si="0">J29+(M29)/1000</f>
        <v>200.00004999999999</v>
      </c>
      <c r="O29" s="312">
        <v>0.33</v>
      </c>
      <c r="P29" s="313">
        <v>0.88470000000000004</v>
      </c>
      <c r="Q29" s="389" t="s">
        <v>323</v>
      </c>
      <c r="R29" s="307" t="s">
        <v>329</v>
      </c>
      <c r="AS29" s="289"/>
    </row>
    <row r="30" spans="2:46" ht="30" customHeight="1" x14ac:dyDescent="0.2">
      <c r="B30" s="503"/>
      <c r="C30" s="308" t="s">
        <v>313</v>
      </c>
      <c r="D30" s="389" t="s">
        <v>316</v>
      </c>
      <c r="E30" s="389" t="s">
        <v>264</v>
      </c>
      <c r="F30" s="389" t="s">
        <v>265</v>
      </c>
      <c r="G30" s="389" t="s">
        <v>266</v>
      </c>
      <c r="H30" s="389" t="s">
        <v>322</v>
      </c>
      <c r="I30" s="310">
        <v>42683</v>
      </c>
      <c r="J30" s="389">
        <v>1000</v>
      </c>
      <c r="K30" s="389">
        <v>200</v>
      </c>
      <c r="L30" s="389">
        <v>500</v>
      </c>
      <c r="M30" s="389">
        <v>-0.2</v>
      </c>
      <c r="N30" s="314">
        <f t="shared" si="0"/>
        <v>999.99980000000005</v>
      </c>
      <c r="O30" s="315">
        <v>1.7</v>
      </c>
      <c r="P30" s="313">
        <v>0.88219999999999998</v>
      </c>
      <c r="Q30" s="389" t="s">
        <v>323</v>
      </c>
      <c r="R30" s="307" t="s">
        <v>329</v>
      </c>
      <c r="AS30" s="289"/>
    </row>
    <row r="31" spans="2:46" ht="30" customHeight="1" x14ac:dyDescent="0.2">
      <c r="B31" s="503"/>
      <c r="C31" s="308" t="s">
        <v>314</v>
      </c>
      <c r="D31" s="389" t="s">
        <v>316</v>
      </c>
      <c r="E31" s="389" t="s">
        <v>264</v>
      </c>
      <c r="F31" s="389" t="s">
        <v>265</v>
      </c>
      <c r="G31" s="389" t="s">
        <v>266</v>
      </c>
      <c r="H31" s="389" t="s">
        <v>322</v>
      </c>
      <c r="I31" s="310">
        <v>42683</v>
      </c>
      <c r="J31" s="389">
        <v>2000</v>
      </c>
      <c r="K31" s="389">
        <v>1000</v>
      </c>
      <c r="L31" s="389">
        <v>1000</v>
      </c>
      <c r="M31" s="389">
        <v>4.5999999999999996</v>
      </c>
      <c r="N31" s="314">
        <f t="shared" si="0"/>
        <v>2000.0046</v>
      </c>
      <c r="O31" s="389">
        <v>3.3</v>
      </c>
      <c r="P31" s="313">
        <v>0.88249999999999995</v>
      </c>
      <c r="Q31" s="389" t="s">
        <v>323</v>
      </c>
      <c r="R31" s="307" t="s">
        <v>329</v>
      </c>
      <c r="AS31" s="289"/>
    </row>
    <row r="32" spans="2:46" ht="30" customHeight="1" thickBot="1" x14ac:dyDescent="0.25">
      <c r="B32" s="504"/>
      <c r="C32" s="316" t="s">
        <v>315</v>
      </c>
      <c r="D32" s="317" t="s">
        <v>316</v>
      </c>
      <c r="E32" s="317" t="s">
        <v>264</v>
      </c>
      <c r="F32" s="317" t="s">
        <v>265</v>
      </c>
      <c r="G32" s="317" t="s">
        <v>266</v>
      </c>
      <c r="H32" s="317" t="s">
        <v>322</v>
      </c>
      <c r="I32" s="318">
        <v>42683</v>
      </c>
      <c r="J32" s="317">
        <v>5000</v>
      </c>
      <c r="K32" s="317">
        <v>2000</v>
      </c>
      <c r="L32" s="317">
        <v>2000</v>
      </c>
      <c r="M32" s="317">
        <v>4.8</v>
      </c>
      <c r="N32" s="319">
        <f t="shared" si="0"/>
        <v>5000.0047999999997</v>
      </c>
      <c r="O32" s="317">
        <v>8.3000000000000007</v>
      </c>
      <c r="P32" s="320">
        <v>0.88319999999999999</v>
      </c>
      <c r="Q32" s="317" t="s">
        <v>323</v>
      </c>
      <c r="R32" s="346" t="s">
        <v>329</v>
      </c>
      <c r="AS32" s="289"/>
    </row>
    <row r="33" spans="2:45" ht="30" customHeight="1" x14ac:dyDescent="0.2">
      <c r="B33" s="437"/>
      <c r="C33" s="321"/>
      <c r="D33" s="388"/>
      <c r="E33" s="388"/>
      <c r="F33" s="388"/>
      <c r="G33" s="388"/>
      <c r="H33" s="388"/>
      <c r="I33" s="323"/>
      <c r="J33" s="388"/>
      <c r="K33" s="388"/>
      <c r="L33" s="388"/>
      <c r="M33" s="388"/>
      <c r="N33" s="326"/>
      <c r="O33" s="388"/>
      <c r="P33" s="388"/>
      <c r="Q33" s="388"/>
      <c r="R33" s="327"/>
      <c r="AS33" s="289"/>
    </row>
    <row r="34" spans="2:45" ht="30" customHeight="1" x14ac:dyDescent="0.2">
      <c r="B34" s="437"/>
      <c r="C34" s="308"/>
      <c r="D34" s="389"/>
      <c r="E34" s="389"/>
      <c r="F34" s="389"/>
      <c r="G34" s="389"/>
      <c r="H34" s="389"/>
      <c r="I34" s="310"/>
      <c r="J34" s="389"/>
      <c r="K34" s="389"/>
      <c r="L34" s="389"/>
      <c r="M34" s="389"/>
      <c r="N34" s="314"/>
      <c r="O34" s="389"/>
      <c r="P34" s="389"/>
      <c r="Q34" s="389"/>
      <c r="R34" s="330"/>
      <c r="AS34" s="289"/>
    </row>
    <row r="35" spans="2:45" ht="30" customHeight="1" x14ac:dyDescent="0.2">
      <c r="B35" s="437"/>
      <c r="C35" s="308"/>
      <c r="D35" s="389"/>
      <c r="E35" s="389"/>
      <c r="F35" s="389"/>
      <c r="G35" s="389"/>
      <c r="H35" s="389"/>
      <c r="I35" s="310"/>
      <c r="J35" s="389"/>
      <c r="K35" s="389"/>
      <c r="L35" s="389"/>
      <c r="M35" s="389"/>
      <c r="N35" s="314"/>
      <c r="O35" s="389"/>
      <c r="P35" s="389"/>
      <c r="Q35" s="389"/>
      <c r="R35" s="330"/>
      <c r="AS35" s="289"/>
    </row>
    <row r="36" spans="2:45" ht="30" customHeight="1" thickBot="1" x14ac:dyDescent="0.25">
      <c r="B36" s="437"/>
      <c r="C36" s="332"/>
      <c r="D36" s="390"/>
      <c r="E36" s="390"/>
      <c r="F36" s="390"/>
      <c r="G36" s="390"/>
      <c r="H36" s="390"/>
      <c r="I36" s="334"/>
      <c r="J36" s="390"/>
      <c r="K36" s="390"/>
      <c r="L36" s="390"/>
      <c r="M36" s="390"/>
      <c r="N36" s="335"/>
      <c r="O36" s="390"/>
      <c r="P36" s="390"/>
      <c r="Q36" s="390"/>
      <c r="R36" s="337"/>
      <c r="AS36" s="289"/>
    </row>
    <row r="37" spans="2:45" ht="30" customHeight="1" thickBot="1" x14ac:dyDescent="0.25">
      <c r="B37" s="289"/>
      <c r="C37" s="457"/>
      <c r="D37" s="391"/>
      <c r="E37" s="391"/>
      <c r="F37" s="391"/>
      <c r="G37" s="391"/>
      <c r="H37" s="391"/>
      <c r="I37" s="391"/>
      <c r="J37" s="391"/>
      <c r="M37" s="391"/>
      <c r="N37" s="391"/>
      <c r="O37" s="391"/>
      <c r="P37" s="345"/>
      <c r="Q37" s="391"/>
      <c r="R37" s="346"/>
      <c r="AS37" s="289"/>
    </row>
    <row r="38" spans="2:45" ht="30" customHeight="1" x14ac:dyDescent="0.2">
      <c r="B38" s="516" t="s">
        <v>331</v>
      </c>
      <c r="C38" s="321" t="s">
        <v>199</v>
      </c>
      <c r="D38" s="388" t="s">
        <v>200</v>
      </c>
      <c r="E38" s="388" t="s">
        <v>183</v>
      </c>
      <c r="F38" s="388">
        <v>27129360</v>
      </c>
      <c r="G38" s="388" t="s">
        <v>201</v>
      </c>
      <c r="H38" s="388">
        <v>1230</v>
      </c>
      <c r="I38" s="323">
        <v>42631</v>
      </c>
      <c r="J38" s="388">
        <v>1</v>
      </c>
      <c r="K38" s="388">
        <v>4000</v>
      </c>
      <c r="L38" s="388">
        <v>5000</v>
      </c>
      <c r="M38" s="388">
        <v>6.0000000000000001E-3</v>
      </c>
      <c r="N38" s="324">
        <f>J38+(M38)/1000</f>
        <v>1.000006</v>
      </c>
      <c r="O38" s="325">
        <v>0.01</v>
      </c>
      <c r="P38" s="326">
        <f>(0.34848*((752.597+755.909)/2)-0.009024*((44.5+51.2)/2)*EXP(0.0612*((19.7+20.8)/2)))/(273.15+((19.7+20.8)/2))</f>
        <v>0.89076687525312348</v>
      </c>
      <c r="Q38" s="388" t="s">
        <v>202</v>
      </c>
      <c r="R38" s="327" t="s">
        <v>330</v>
      </c>
      <c r="AS38" s="289"/>
    </row>
    <row r="39" spans="2:45" ht="30" customHeight="1" x14ac:dyDescent="0.2">
      <c r="B39" s="517"/>
      <c r="C39" s="308" t="s">
        <v>203</v>
      </c>
      <c r="D39" s="389" t="s">
        <v>200</v>
      </c>
      <c r="E39" s="389" t="s">
        <v>183</v>
      </c>
      <c r="F39" s="389">
        <v>27129360</v>
      </c>
      <c r="G39" s="389" t="s">
        <v>204</v>
      </c>
      <c r="H39" s="389">
        <v>1230</v>
      </c>
      <c r="I39" s="310">
        <v>42631</v>
      </c>
      <c r="J39" s="389">
        <v>2</v>
      </c>
      <c r="K39" s="389">
        <v>5000</v>
      </c>
      <c r="L39" s="328">
        <v>6000</v>
      </c>
      <c r="M39" s="389">
        <v>6.0000000000000001E-3</v>
      </c>
      <c r="N39" s="329">
        <f t="shared" ref="N39:N88" si="1">J39+(M39)/1000</f>
        <v>2.000006</v>
      </c>
      <c r="O39" s="389">
        <v>1.2E-2</v>
      </c>
      <c r="P39" s="314">
        <f t="shared" ref="P39:P54" si="2">(0.34848*((752.597+755.909)/2)-0.009024*((44.5+51.2)/2)*EXP(0.0612*((19.7+20.8)/2)))/(273.15+((19.7+20.8)/2))</f>
        <v>0.89076687525312348</v>
      </c>
      <c r="Q39" s="389" t="str">
        <f t="shared" ref="Q39:Q54" si="3">Q38</f>
        <v>M-001</v>
      </c>
      <c r="R39" s="330" t="s">
        <v>330</v>
      </c>
      <c r="AS39" s="289"/>
    </row>
    <row r="40" spans="2:45" ht="30" customHeight="1" x14ac:dyDescent="0.2">
      <c r="B40" s="517"/>
      <c r="C40" s="308" t="s">
        <v>205</v>
      </c>
      <c r="D40" s="389" t="s">
        <v>200</v>
      </c>
      <c r="E40" s="389" t="s">
        <v>183</v>
      </c>
      <c r="F40" s="389">
        <v>27129360</v>
      </c>
      <c r="G40" s="389" t="s">
        <v>206</v>
      </c>
      <c r="H40" s="389">
        <v>1230</v>
      </c>
      <c r="I40" s="310">
        <v>42631</v>
      </c>
      <c r="J40" s="389">
        <v>2</v>
      </c>
      <c r="K40" s="389">
        <v>10000</v>
      </c>
      <c r="L40" s="328">
        <v>7000</v>
      </c>
      <c r="M40" s="389">
        <v>1.2999999999999999E-2</v>
      </c>
      <c r="N40" s="329">
        <f t="shared" si="1"/>
        <v>2.000013</v>
      </c>
      <c r="O40" s="389">
        <v>1.2E-2</v>
      </c>
      <c r="P40" s="314">
        <f t="shared" si="2"/>
        <v>0.89076687525312348</v>
      </c>
      <c r="Q40" s="389" t="str">
        <f t="shared" si="3"/>
        <v>M-001</v>
      </c>
      <c r="R40" s="330" t="s">
        <v>330</v>
      </c>
      <c r="AS40" s="289"/>
    </row>
    <row r="41" spans="2:45" ht="30" customHeight="1" x14ac:dyDescent="0.2">
      <c r="B41" s="517"/>
      <c r="C41" s="308" t="s">
        <v>207</v>
      </c>
      <c r="D41" s="389" t="s">
        <v>200</v>
      </c>
      <c r="E41" s="389" t="s">
        <v>183</v>
      </c>
      <c r="F41" s="389">
        <v>27129360</v>
      </c>
      <c r="G41" s="389" t="s">
        <v>208</v>
      </c>
      <c r="H41" s="389">
        <v>1230</v>
      </c>
      <c r="I41" s="310">
        <v>42631</v>
      </c>
      <c r="J41" s="389">
        <v>5</v>
      </c>
      <c r="K41" s="389">
        <v>15000</v>
      </c>
      <c r="L41" s="328">
        <v>8000</v>
      </c>
      <c r="M41" s="331">
        <v>-2E-3</v>
      </c>
      <c r="N41" s="329">
        <f t="shared" si="1"/>
        <v>4.9999979999999997</v>
      </c>
      <c r="O41" s="389">
        <v>1.6E-2</v>
      </c>
      <c r="P41" s="314">
        <f t="shared" si="2"/>
        <v>0.89076687525312348</v>
      </c>
      <c r="Q41" s="389" t="str">
        <f t="shared" si="3"/>
        <v>M-001</v>
      </c>
      <c r="R41" s="330" t="s">
        <v>330</v>
      </c>
      <c r="AS41" s="289"/>
    </row>
    <row r="42" spans="2:45" ht="30" customHeight="1" x14ac:dyDescent="0.2">
      <c r="B42" s="517"/>
      <c r="C42" s="308" t="s">
        <v>209</v>
      </c>
      <c r="D42" s="389" t="s">
        <v>200</v>
      </c>
      <c r="E42" s="389" t="s">
        <v>183</v>
      </c>
      <c r="F42" s="389">
        <v>27129360</v>
      </c>
      <c r="G42" s="389" t="s">
        <v>210</v>
      </c>
      <c r="H42" s="389">
        <v>1230</v>
      </c>
      <c r="I42" s="310">
        <v>42631</v>
      </c>
      <c r="J42" s="389">
        <v>10</v>
      </c>
      <c r="K42" s="389">
        <v>20000</v>
      </c>
      <c r="L42" s="328">
        <v>8200</v>
      </c>
      <c r="M42" s="389">
        <v>4.0000000000000001E-3</v>
      </c>
      <c r="N42" s="329">
        <f t="shared" si="1"/>
        <v>10.000004000000001</v>
      </c>
      <c r="O42" s="331">
        <v>0.02</v>
      </c>
      <c r="P42" s="314">
        <f t="shared" si="2"/>
        <v>0.89076687525312348</v>
      </c>
      <c r="Q42" s="389" t="str">
        <f t="shared" si="3"/>
        <v>M-001</v>
      </c>
      <c r="R42" s="330" t="s">
        <v>330</v>
      </c>
      <c r="AS42" s="289"/>
    </row>
    <row r="43" spans="2:45" ht="30" customHeight="1" x14ac:dyDescent="0.2">
      <c r="B43" s="517"/>
      <c r="C43" s="308" t="s">
        <v>211</v>
      </c>
      <c r="D43" s="389" t="s">
        <v>200</v>
      </c>
      <c r="E43" s="389" t="s">
        <v>183</v>
      </c>
      <c r="F43" s="389">
        <v>27129360</v>
      </c>
      <c r="G43" s="389" t="s">
        <v>212</v>
      </c>
      <c r="H43" s="389">
        <v>1230</v>
      </c>
      <c r="I43" s="310">
        <v>42631</v>
      </c>
      <c r="J43" s="389">
        <v>20</v>
      </c>
      <c r="K43" s="389">
        <v>25000</v>
      </c>
      <c r="L43" s="328">
        <v>10000</v>
      </c>
      <c r="M43" s="389">
        <v>2.7E-2</v>
      </c>
      <c r="N43" s="329">
        <f t="shared" si="1"/>
        <v>20.000026999999999</v>
      </c>
      <c r="O43" s="389">
        <v>2.5000000000000001E-2</v>
      </c>
      <c r="P43" s="314">
        <f t="shared" si="2"/>
        <v>0.89076687525312348</v>
      </c>
      <c r="Q43" s="389" t="str">
        <f t="shared" si="3"/>
        <v>M-001</v>
      </c>
      <c r="R43" s="330" t="s">
        <v>330</v>
      </c>
      <c r="AS43" s="289"/>
    </row>
    <row r="44" spans="2:45" ht="30" customHeight="1" x14ac:dyDescent="0.2">
      <c r="B44" s="517"/>
      <c r="C44" s="308" t="s">
        <v>213</v>
      </c>
      <c r="D44" s="389" t="s">
        <v>200</v>
      </c>
      <c r="E44" s="389" t="s">
        <v>183</v>
      </c>
      <c r="F44" s="389">
        <v>27129360</v>
      </c>
      <c r="G44" s="389" t="s">
        <v>214</v>
      </c>
      <c r="H44" s="389">
        <v>1230</v>
      </c>
      <c r="I44" s="310">
        <v>42631</v>
      </c>
      <c r="J44" s="389">
        <v>20</v>
      </c>
      <c r="K44" s="389">
        <v>30000</v>
      </c>
      <c r="L44" s="328">
        <v>12000</v>
      </c>
      <c r="M44" s="389">
        <v>7.0000000000000001E-3</v>
      </c>
      <c r="N44" s="329">
        <f t="shared" si="1"/>
        <v>20.000007</v>
      </c>
      <c r="O44" s="389">
        <v>2.5000000000000001E-2</v>
      </c>
      <c r="P44" s="314">
        <f t="shared" si="2"/>
        <v>0.89076687525312348</v>
      </c>
      <c r="Q44" s="389" t="str">
        <f t="shared" si="3"/>
        <v>M-001</v>
      </c>
      <c r="R44" s="330" t="s">
        <v>330</v>
      </c>
      <c r="AS44" s="289"/>
    </row>
    <row r="45" spans="2:45" ht="30" customHeight="1" x14ac:dyDescent="0.2">
      <c r="B45" s="517"/>
      <c r="C45" s="308" t="s">
        <v>215</v>
      </c>
      <c r="D45" s="389" t="s">
        <v>200</v>
      </c>
      <c r="E45" s="389" t="s">
        <v>183</v>
      </c>
      <c r="F45" s="389">
        <v>27129360</v>
      </c>
      <c r="G45" s="389" t="s">
        <v>216</v>
      </c>
      <c r="H45" s="389">
        <v>1230</v>
      </c>
      <c r="I45" s="310">
        <v>42631</v>
      </c>
      <c r="J45" s="389">
        <v>50</v>
      </c>
      <c r="K45" s="389">
        <v>40000</v>
      </c>
      <c r="L45" s="328">
        <v>15000</v>
      </c>
      <c r="M45" s="389">
        <v>0.03</v>
      </c>
      <c r="N45" s="311">
        <f t="shared" si="1"/>
        <v>50.000030000000002</v>
      </c>
      <c r="O45" s="389">
        <v>0.03</v>
      </c>
      <c r="P45" s="314">
        <f t="shared" si="2"/>
        <v>0.89076687525312348</v>
      </c>
      <c r="Q45" s="389" t="str">
        <f t="shared" si="3"/>
        <v>M-001</v>
      </c>
      <c r="R45" s="330" t="s">
        <v>330</v>
      </c>
      <c r="AS45" s="289"/>
    </row>
    <row r="46" spans="2:45" ht="30" customHeight="1" x14ac:dyDescent="0.2">
      <c r="B46" s="517"/>
      <c r="C46" s="308" t="s">
        <v>217</v>
      </c>
      <c r="D46" s="389" t="s">
        <v>200</v>
      </c>
      <c r="E46" s="389" t="s">
        <v>183</v>
      </c>
      <c r="F46" s="389">
        <v>27129360</v>
      </c>
      <c r="G46" s="389" t="s">
        <v>218</v>
      </c>
      <c r="H46" s="389">
        <v>1230</v>
      </c>
      <c r="I46" s="310">
        <v>42631</v>
      </c>
      <c r="J46" s="389">
        <v>100</v>
      </c>
      <c r="K46" s="459"/>
      <c r="L46" s="269">
        <v>20000</v>
      </c>
      <c r="M46" s="389">
        <v>0.06</v>
      </c>
      <c r="N46" s="311">
        <f t="shared" si="1"/>
        <v>100.00006</v>
      </c>
      <c r="O46" s="389">
        <v>0.05</v>
      </c>
      <c r="P46" s="314">
        <f t="shared" si="2"/>
        <v>0.89076687525312348</v>
      </c>
      <c r="Q46" s="389" t="str">
        <f t="shared" si="3"/>
        <v>M-001</v>
      </c>
      <c r="R46" s="330" t="s">
        <v>330</v>
      </c>
      <c r="AS46" s="289"/>
    </row>
    <row r="47" spans="2:45" ht="30" customHeight="1" x14ac:dyDescent="0.2">
      <c r="B47" s="517"/>
      <c r="C47" s="308" t="s">
        <v>219</v>
      </c>
      <c r="D47" s="389" t="s">
        <v>200</v>
      </c>
      <c r="E47" s="389" t="s">
        <v>183</v>
      </c>
      <c r="F47" s="389">
        <v>27129360</v>
      </c>
      <c r="G47" s="389" t="s">
        <v>220</v>
      </c>
      <c r="H47" s="389">
        <v>1230</v>
      </c>
      <c r="I47" s="310">
        <v>42631</v>
      </c>
      <c r="J47" s="389">
        <v>200</v>
      </c>
      <c r="K47" s="459"/>
      <c r="L47" s="269">
        <v>25000</v>
      </c>
      <c r="M47" s="389">
        <v>-0.06</v>
      </c>
      <c r="N47" s="311">
        <f t="shared" si="1"/>
        <v>199.99994000000001</v>
      </c>
      <c r="O47" s="312">
        <v>0.1</v>
      </c>
      <c r="P47" s="314">
        <f t="shared" si="2"/>
        <v>0.89076687525312348</v>
      </c>
      <c r="Q47" s="389" t="str">
        <f t="shared" si="3"/>
        <v>M-001</v>
      </c>
      <c r="R47" s="330" t="s">
        <v>330</v>
      </c>
      <c r="AS47" s="289"/>
    </row>
    <row r="48" spans="2:45" ht="30" customHeight="1" x14ac:dyDescent="0.2">
      <c r="B48" s="517"/>
      <c r="C48" s="308" t="s">
        <v>221</v>
      </c>
      <c r="D48" s="389" t="s">
        <v>200</v>
      </c>
      <c r="E48" s="389" t="s">
        <v>183</v>
      </c>
      <c r="F48" s="389">
        <v>27129360</v>
      </c>
      <c r="G48" s="389" t="s">
        <v>222</v>
      </c>
      <c r="H48" s="389">
        <v>1230</v>
      </c>
      <c r="I48" s="310">
        <v>42631</v>
      </c>
      <c r="J48" s="389">
        <v>200</v>
      </c>
      <c r="K48" s="459"/>
      <c r="L48" s="269">
        <v>30000</v>
      </c>
      <c r="M48" s="389">
        <v>0.16</v>
      </c>
      <c r="N48" s="311">
        <f t="shared" si="1"/>
        <v>200.00015999999999</v>
      </c>
      <c r="O48" s="312">
        <v>0.1</v>
      </c>
      <c r="P48" s="314">
        <f t="shared" si="2"/>
        <v>0.89076687525312348</v>
      </c>
      <c r="Q48" s="389" t="str">
        <f t="shared" si="3"/>
        <v>M-001</v>
      </c>
      <c r="R48" s="330" t="s">
        <v>330</v>
      </c>
      <c r="AS48" s="289"/>
    </row>
    <row r="49" spans="2:48" ht="30" customHeight="1" x14ac:dyDescent="0.2">
      <c r="B49" s="517"/>
      <c r="C49" s="308" t="s">
        <v>223</v>
      </c>
      <c r="D49" s="389" t="s">
        <v>200</v>
      </c>
      <c r="E49" s="389" t="s">
        <v>183</v>
      </c>
      <c r="F49" s="389">
        <v>27129360</v>
      </c>
      <c r="G49" s="389" t="s">
        <v>224</v>
      </c>
      <c r="H49" s="389">
        <v>1230</v>
      </c>
      <c r="I49" s="310">
        <v>42631</v>
      </c>
      <c r="J49" s="389">
        <v>500</v>
      </c>
      <c r="K49" s="459"/>
      <c r="L49" s="269">
        <v>35000</v>
      </c>
      <c r="M49" s="389">
        <v>0.35</v>
      </c>
      <c r="N49" s="311">
        <f t="shared" si="1"/>
        <v>500.00035000000003</v>
      </c>
      <c r="O49" s="389">
        <v>0.25</v>
      </c>
      <c r="P49" s="314">
        <f t="shared" si="2"/>
        <v>0.89076687525312348</v>
      </c>
      <c r="Q49" s="389" t="str">
        <f t="shared" si="3"/>
        <v>M-001</v>
      </c>
      <c r="R49" s="330" t="s">
        <v>330</v>
      </c>
      <c r="AS49" s="289"/>
    </row>
    <row r="50" spans="2:48" ht="30" customHeight="1" x14ac:dyDescent="0.2">
      <c r="B50" s="517"/>
      <c r="C50" s="308" t="s">
        <v>225</v>
      </c>
      <c r="D50" s="389" t="s">
        <v>200</v>
      </c>
      <c r="E50" s="389" t="s">
        <v>183</v>
      </c>
      <c r="F50" s="389">
        <v>27129360</v>
      </c>
      <c r="G50" s="389" t="s">
        <v>226</v>
      </c>
      <c r="H50" s="389">
        <v>1230</v>
      </c>
      <c r="I50" s="310">
        <v>42631</v>
      </c>
      <c r="J50" s="389">
        <v>1000</v>
      </c>
      <c r="K50" s="459"/>
      <c r="L50" s="269">
        <v>40000</v>
      </c>
      <c r="M50" s="389">
        <v>0.7</v>
      </c>
      <c r="N50" s="314">
        <f t="shared" si="1"/>
        <v>1000.0007000000001</v>
      </c>
      <c r="O50" s="389">
        <v>0.5</v>
      </c>
      <c r="P50" s="314">
        <f t="shared" si="2"/>
        <v>0.89076687525312348</v>
      </c>
      <c r="Q50" s="389" t="str">
        <f t="shared" si="3"/>
        <v>M-001</v>
      </c>
      <c r="R50" s="330" t="s">
        <v>330</v>
      </c>
      <c r="AS50" s="289"/>
    </row>
    <row r="51" spans="2:48" ht="30" customHeight="1" x14ac:dyDescent="0.2">
      <c r="B51" s="517"/>
      <c r="C51" s="308" t="s">
        <v>227</v>
      </c>
      <c r="D51" s="389" t="s">
        <v>200</v>
      </c>
      <c r="E51" s="389" t="s">
        <v>183</v>
      </c>
      <c r="F51" s="389">
        <v>27129360</v>
      </c>
      <c r="G51" s="389" t="s">
        <v>228</v>
      </c>
      <c r="H51" s="389">
        <v>1230</v>
      </c>
      <c r="I51" s="310">
        <v>42631</v>
      </c>
      <c r="J51" s="389">
        <v>2000</v>
      </c>
      <c r="K51" s="459"/>
      <c r="L51" s="269">
        <v>45000</v>
      </c>
      <c r="M51" s="389">
        <v>1.2</v>
      </c>
      <c r="N51" s="314">
        <f t="shared" si="1"/>
        <v>2000.0011999999999</v>
      </c>
      <c r="O51" s="315">
        <v>1</v>
      </c>
      <c r="P51" s="314">
        <f t="shared" si="2"/>
        <v>0.89076687525312348</v>
      </c>
      <c r="Q51" s="389" t="str">
        <f t="shared" si="3"/>
        <v>M-001</v>
      </c>
      <c r="R51" s="330" t="s">
        <v>330</v>
      </c>
      <c r="AS51" s="289"/>
    </row>
    <row r="52" spans="2:48" ht="30" customHeight="1" x14ac:dyDescent="0.2">
      <c r="B52" s="517"/>
      <c r="C52" s="308" t="s">
        <v>229</v>
      </c>
      <c r="D52" s="389" t="s">
        <v>200</v>
      </c>
      <c r="E52" s="389" t="s">
        <v>183</v>
      </c>
      <c r="F52" s="389">
        <v>27129360</v>
      </c>
      <c r="G52" s="389" t="s">
        <v>230</v>
      </c>
      <c r="H52" s="389">
        <v>1230</v>
      </c>
      <c r="I52" s="310">
        <v>42631</v>
      </c>
      <c r="J52" s="389">
        <v>2000</v>
      </c>
      <c r="K52" s="269"/>
      <c r="L52" s="269">
        <v>50000</v>
      </c>
      <c r="M52" s="389">
        <v>1.1000000000000001</v>
      </c>
      <c r="N52" s="314">
        <f t="shared" si="1"/>
        <v>2000.0011</v>
      </c>
      <c r="O52" s="315">
        <v>1</v>
      </c>
      <c r="P52" s="314">
        <f t="shared" si="2"/>
        <v>0.89076687525312348</v>
      </c>
      <c r="Q52" s="389" t="str">
        <f t="shared" si="3"/>
        <v>M-001</v>
      </c>
      <c r="R52" s="330" t="s">
        <v>330</v>
      </c>
      <c r="AS52" s="289"/>
    </row>
    <row r="53" spans="2:48" ht="30" customHeight="1" x14ac:dyDescent="0.2">
      <c r="B53" s="517"/>
      <c r="C53" s="308" t="s">
        <v>231</v>
      </c>
      <c r="D53" s="389" t="s">
        <v>200</v>
      </c>
      <c r="E53" s="389" t="s">
        <v>183</v>
      </c>
      <c r="F53" s="389">
        <v>27129360</v>
      </c>
      <c r="G53" s="389" t="s">
        <v>232</v>
      </c>
      <c r="H53" s="389">
        <v>1230</v>
      </c>
      <c r="I53" s="310">
        <v>42631</v>
      </c>
      <c r="J53" s="389">
        <v>5000</v>
      </c>
      <c r="K53" s="269"/>
      <c r="L53" s="459"/>
      <c r="M53" s="389">
        <v>3.7</v>
      </c>
      <c r="N53" s="314">
        <f t="shared" si="1"/>
        <v>5000.0037000000002</v>
      </c>
      <c r="O53" s="389">
        <v>2.5</v>
      </c>
      <c r="P53" s="314">
        <f t="shared" si="2"/>
        <v>0.89076687525312348</v>
      </c>
      <c r="Q53" s="389" t="str">
        <f t="shared" si="3"/>
        <v>M-001</v>
      </c>
      <c r="R53" s="330" t="s">
        <v>330</v>
      </c>
      <c r="AS53" s="289"/>
    </row>
    <row r="54" spans="2:48" ht="30" customHeight="1" thickBot="1" x14ac:dyDescent="0.25">
      <c r="B54" s="518"/>
      <c r="C54" s="332" t="s">
        <v>233</v>
      </c>
      <c r="D54" s="390" t="s">
        <v>200</v>
      </c>
      <c r="E54" s="390" t="s">
        <v>183</v>
      </c>
      <c r="F54" s="390">
        <v>27129360</v>
      </c>
      <c r="G54" s="390" t="s">
        <v>234</v>
      </c>
      <c r="H54" s="390">
        <v>1230</v>
      </c>
      <c r="I54" s="334">
        <v>42631</v>
      </c>
      <c r="J54" s="390">
        <v>10000</v>
      </c>
      <c r="K54" s="270"/>
      <c r="L54" s="461"/>
      <c r="M54" s="390">
        <v>8.6999999999999993</v>
      </c>
      <c r="N54" s="335">
        <f t="shared" si="1"/>
        <v>10000.0087</v>
      </c>
      <c r="O54" s="336">
        <v>5</v>
      </c>
      <c r="P54" s="335">
        <f t="shared" si="2"/>
        <v>0.89076687525312348</v>
      </c>
      <c r="Q54" s="390" t="str">
        <f t="shared" si="3"/>
        <v>M-001</v>
      </c>
      <c r="R54" s="337" t="s">
        <v>330</v>
      </c>
      <c r="AS54" s="289"/>
    </row>
    <row r="55" spans="2:48" ht="30" customHeight="1" x14ac:dyDescent="0.2">
      <c r="B55" s="514" t="s">
        <v>332</v>
      </c>
      <c r="C55" s="302" t="s">
        <v>235</v>
      </c>
      <c r="D55" s="303" t="s">
        <v>236</v>
      </c>
      <c r="E55" s="303" t="s">
        <v>335</v>
      </c>
      <c r="F55" s="303">
        <v>11119515</v>
      </c>
      <c r="G55" s="303">
        <v>1</v>
      </c>
      <c r="H55" s="303">
        <v>100405</v>
      </c>
      <c r="I55" s="304">
        <v>42615</v>
      </c>
      <c r="J55" s="303">
        <v>1</v>
      </c>
      <c r="K55" s="274"/>
      <c r="L55" s="460"/>
      <c r="M55" s="303">
        <v>0.04</v>
      </c>
      <c r="N55" s="338">
        <f t="shared" si="1"/>
        <v>1.00004</v>
      </c>
      <c r="O55" s="303">
        <v>0.03</v>
      </c>
      <c r="P55" s="339">
        <f>(0.34848*((750.3+756.2)/2)-0.009024*((43.6+60.2)/2)*EXP(0.0612*((19.1+21.1)/2)))/(273.15+((19.1+21.1)/2))</f>
        <v>0.88965063908070108</v>
      </c>
      <c r="Q55" s="303" t="s">
        <v>237</v>
      </c>
      <c r="R55" s="307" t="s">
        <v>330</v>
      </c>
      <c r="AS55" s="289"/>
      <c r="AT55" s="286"/>
      <c r="AU55" s="286"/>
    </row>
    <row r="56" spans="2:48" ht="30" customHeight="1" x14ac:dyDescent="0.2">
      <c r="B56" s="514"/>
      <c r="C56" s="308" t="s">
        <v>238</v>
      </c>
      <c r="D56" s="309" t="s">
        <v>236</v>
      </c>
      <c r="E56" s="309" t="s">
        <v>335</v>
      </c>
      <c r="F56" s="309">
        <v>11119515</v>
      </c>
      <c r="G56" s="309" t="s">
        <v>240</v>
      </c>
      <c r="H56" s="309">
        <v>100405</v>
      </c>
      <c r="I56" s="310">
        <f>I55</f>
        <v>42615</v>
      </c>
      <c r="J56" s="389">
        <v>2</v>
      </c>
      <c r="K56" s="269"/>
      <c r="L56" s="459"/>
      <c r="M56" s="389">
        <v>0.06</v>
      </c>
      <c r="N56" s="311">
        <f t="shared" si="1"/>
        <v>2.0000599999999999</v>
      </c>
      <c r="O56" s="309">
        <v>0.04</v>
      </c>
      <c r="P56" s="339">
        <f t="shared" ref="P56:P70" si="4">(0.34848*((750.3+756.2)/2)-0.009024*((43.6+60.2)/2)*EXP(0.0612*((19.1+21.1)/2)))/(273.15+((19.1+21.1)/2))</f>
        <v>0.88965063908070108</v>
      </c>
      <c r="Q56" s="309" t="str">
        <f t="shared" ref="Q56:Q70" si="5">Q55</f>
        <v>M-002</v>
      </c>
      <c r="R56" s="307" t="s">
        <v>330</v>
      </c>
      <c r="AS56" s="289"/>
      <c r="AT56" s="286"/>
      <c r="AU56" s="286"/>
    </row>
    <row r="57" spans="2:48" ht="30" customHeight="1" x14ac:dyDescent="0.2">
      <c r="B57" s="514"/>
      <c r="C57" s="308" t="s">
        <v>239</v>
      </c>
      <c r="D57" s="309" t="s">
        <v>236</v>
      </c>
      <c r="E57" s="309" t="s">
        <v>335</v>
      </c>
      <c r="F57" s="309">
        <v>11119515</v>
      </c>
      <c r="G57" s="309">
        <v>2</v>
      </c>
      <c r="H57" s="309">
        <v>100405</v>
      </c>
      <c r="I57" s="310">
        <f t="shared" ref="I57:I70" si="6">I56</f>
        <v>42615</v>
      </c>
      <c r="J57" s="389">
        <v>2</v>
      </c>
      <c r="K57" s="269"/>
      <c r="L57" s="459"/>
      <c r="M57" s="389">
        <v>0.04</v>
      </c>
      <c r="N57" s="311">
        <f t="shared" si="1"/>
        <v>2.0000399999999998</v>
      </c>
      <c r="O57" s="309">
        <v>0.04</v>
      </c>
      <c r="P57" s="339">
        <f t="shared" si="4"/>
        <v>0.88965063908070108</v>
      </c>
      <c r="Q57" s="309" t="str">
        <f t="shared" si="5"/>
        <v>M-002</v>
      </c>
      <c r="R57" s="307" t="s">
        <v>330</v>
      </c>
      <c r="AS57" s="289"/>
      <c r="AT57" s="286"/>
      <c r="AU57" s="286"/>
    </row>
    <row r="58" spans="2:48" ht="30" customHeight="1" x14ac:dyDescent="0.2">
      <c r="B58" s="514"/>
      <c r="C58" s="308" t="s">
        <v>241</v>
      </c>
      <c r="D58" s="309" t="s">
        <v>236</v>
      </c>
      <c r="E58" s="309" t="s">
        <v>335</v>
      </c>
      <c r="F58" s="309">
        <v>11119515</v>
      </c>
      <c r="G58" s="309">
        <v>5</v>
      </c>
      <c r="H58" s="309">
        <v>100405</v>
      </c>
      <c r="I58" s="310">
        <f t="shared" si="6"/>
        <v>42615</v>
      </c>
      <c r="J58" s="389">
        <v>5</v>
      </c>
      <c r="K58" s="269"/>
      <c r="L58" s="459"/>
      <c r="M58" s="312">
        <v>0</v>
      </c>
      <c r="N58" s="311">
        <f t="shared" si="1"/>
        <v>5</v>
      </c>
      <c r="O58" s="309">
        <v>0.05</v>
      </c>
      <c r="P58" s="339">
        <f t="shared" si="4"/>
        <v>0.88965063908070108</v>
      </c>
      <c r="Q58" s="309" t="str">
        <f t="shared" si="5"/>
        <v>M-002</v>
      </c>
      <c r="R58" s="307" t="s">
        <v>330</v>
      </c>
      <c r="AS58" s="289"/>
      <c r="AT58" s="286"/>
      <c r="AU58" s="286"/>
    </row>
    <row r="59" spans="2:48" ht="30" customHeight="1" x14ac:dyDescent="0.2">
      <c r="B59" s="514"/>
      <c r="C59" s="308" t="s">
        <v>243</v>
      </c>
      <c r="D59" s="309" t="s">
        <v>236</v>
      </c>
      <c r="E59" s="309" t="s">
        <v>335</v>
      </c>
      <c r="F59" s="309">
        <v>11119515</v>
      </c>
      <c r="G59" s="309">
        <v>10</v>
      </c>
      <c r="H59" s="309">
        <v>100405</v>
      </c>
      <c r="I59" s="310">
        <f t="shared" si="6"/>
        <v>42615</v>
      </c>
      <c r="J59" s="389">
        <v>10</v>
      </c>
      <c r="K59" s="269"/>
      <c r="L59" s="459"/>
      <c r="M59" s="389">
        <v>0.05</v>
      </c>
      <c r="N59" s="311">
        <f t="shared" si="1"/>
        <v>10.00005</v>
      </c>
      <c r="O59" s="309">
        <v>0.06</v>
      </c>
      <c r="P59" s="339">
        <f t="shared" si="4"/>
        <v>0.88965063908070108</v>
      </c>
      <c r="Q59" s="309" t="str">
        <f t="shared" si="5"/>
        <v>M-002</v>
      </c>
      <c r="R59" s="307" t="s">
        <v>330</v>
      </c>
      <c r="AS59" s="289"/>
      <c r="AT59" s="286"/>
      <c r="AU59" s="286"/>
    </row>
    <row r="60" spans="2:48" ht="30" customHeight="1" x14ac:dyDescent="0.2">
      <c r="B60" s="514"/>
      <c r="C60" s="308" t="s">
        <v>245</v>
      </c>
      <c r="D60" s="309" t="s">
        <v>236</v>
      </c>
      <c r="E60" s="309" t="s">
        <v>335</v>
      </c>
      <c r="F60" s="309">
        <v>11119515</v>
      </c>
      <c r="G60" s="309" t="s">
        <v>247</v>
      </c>
      <c r="H60" s="309">
        <v>100405</v>
      </c>
      <c r="I60" s="310">
        <f t="shared" si="6"/>
        <v>42615</v>
      </c>
      <c r="J60" s="389">
        <v>20</v>
      </c>
      <c r="K60" s="269"/>
      <c r="L60" s="459"/>
      <c r="M60" s="389">
        <v>7.0000000000000007E-2</v>
      </c>
      <c r="N60" s="311">
        <f t="shared" si="1"/>
        <v>20.000070000000001</v>
      </c>
      <c r="O60" s="309">
        <v>0.08</v>
      </c>
      <c r="P60" s="339">
        <f t="shared" si="4"/>
        <v>0.88965063908070108</v>
      </c>
      <c r="Q60" s="309" t="str">
        <f t="shared" si="5"/>
        <v>M-002</v>
      </c>
      <c r="R60" s="307" t="s">
        <v>330</v>
      </c>
      <c r="AS60" s="289"/>
      <c r="AT60" s="286"/>
      <c r="AU60" s="286"/>
    </row>
    <row r="61" spans="2:48" ht="30" customHeight="1" x14ac:dyDescent="0.2">
      <c r="B61" s="514"/>
      <c r="C61" s="308" t="s">
        <v>246</v>
      </c>
      <c r="D61" s="309" t="s">
        <v>236</v>
      </c>
      <c r="E61" s="309" t="s">
        <v>335</v>
      </c>
      <c r="F61" s="309">
        <v>11119515</v>
      </c>
      <c r="G61" s="309">
        <v>20</v>
      </c>
      <c r="H61" s="309">
        <v>100405</v>
      </c>
      <c r="I61" s="310">
        <f t="shared" si="6"/>
        <v>42615</v>
      </c>
      <c r="J61" s="389">
        <v>20</v>
      </c>
      <c r="K61" s="269"/>
      <c r="L61" s="459"/>
      <c r="M61" s="389">
        <v>0.08</v>
      </c>
      <c r="N61" s="311">
        <f t="shared" si="1"/>
        <v>20.000080000000001</v>
      </c>
      <c r="O61" s="309">
        <v>0.08</v>
      </c>
      <c r="P61" s="339">
        <f t="shared" si="4"/>
        <v>0.88965063908070108</v>
      </c>
      <c r="Q61" s="309" t="str">
        <f t="shared" si="5"/>
        <v>M-002</v>
      </c>
      <c r="R61" s="307" t="s">
        <v>330</v>
      </c>
      <c r="AS61" s="289"/>
      <c r="AT61" s="286"/>
      <c r="AU61" s="286"/>
    </row>
    <row r="62" spans="2:48" ht="30" customHeight="1" x14ac:dyDescent="0.2">
      <c r="B62" s="514"/>
      <c r="C62" s="308" t="s">
        <v>248</v>
      </c>
      <c r="D62" s="309" t="s">
        <v>236</v>
      </c>
      <c r="E62" s="309" t="s">
        <v>335</v>
      </c>
      <c r="F62" s="309">
        <v>11119515</v>
      </c>
      <c r="G62" s="309">
        <v>50</v>
      </c>
      <c r="H62" s="309">
        <v>100405</v>
      </c>
      <c r="I62" s="310">
        <f t="shared" si="6"/>
        <v>42615</v>
      </c>
      <c r="J62" s="389">
        <v>50</v>
      </c>
      <c r="K62" s="269"/>
      <c r="L62" s="459"/>
      <c r="M62" s="389">
        <v>0.19</v>
      </c>
      <c r="N62" s="311">
        <f t="shared" si="1"/>
        <v>50.000190000000003</v>
      </c>
      <c r="O62" s="312">
        <v>0.1</v>
      </c>
      <c r="P62" s="339">
        <f t="shared" si="4"/>
        <v>0.88965063908070108</v>
      </c>
      <c r="Q62" s="309" t="str">
        <f t="shared" si="5"/>
        <v>M-002</v>
      </c>
      <c r="R62" s="307" t="s">
        <v>330</v>
      </c>
      <c r="AS62" s="289"/>
      <c r="AT62" s="286"/>
      <c r="AU62" s="286"/>
    </row>
    <row r="63" spans="2:48" ht="30" customHeight="1" x14ac:dyDescent="0.2">
      <c r="B63" s="514"/>
      <c r="C63" s="308" t="s">
        <v>249</v>
      </c>
      <c r="D63" s="309" t="s">
        <v>236</v>
      </c>
      <c r="E63" s="309" t="s">
        <v>335</v>
      </c>
      <c r="F63" s="309">
        <v>11119515</v>
      </c>
      <c r="G63" s="309">
        <v>100</v>
      </c>
      <c r="H63" s="309">
        <v>100405</v>
      </c>
      <c r="I63" s="310">
        <f t="shared" si="6"/>
        <v>42615</v>
      </c>
      <c r="J63" s="389">
        <v>100</v>
      </c>
      <c r="K63" s="269"/>
      <c r="L63" s="459"/>
      <c r="M63" s="389">
        <v>0.13</v>
      </c>
      <c r="N63" s="311">
        <f t="shared" si="1"/>
        <v>100.00013</v>
      </c>
      <c r="O63" s="309">
        <v>0.16</v>
      </c>
      <c r="P63" s="339">
        <f t="shared" si="4"/>
        <v>0.88965063908070108</v>
      </c>
      <c r="Q63" s="309" t="str">
        <f t="shared" si="5"/>
        <v>M-002</v>
      </c>
      <c r="R63" s="307" t="s">
        <v>330</v>
      </c>
      <c r="AT63" s="289"/>
      <c r="AU63" s="286"/>
      <c r="AV63" s="286"/>
    </row>
    <row r="64" spans="2:48" ht="30" customHeight="1" x14ac:dyDescent="0.2">
      <c r="B64" s="514"/>
      <c r="C64" s="308" t="s">
        <v>251</v>
      </c>
      <c r="D64" s="309" t="s">
        <v>236</v>
      </c>
      <c r="E64" s="309" t="s">
        <v>335</v>
      </c>
      <c r="F64" s="309">
        <v>11119515</v>
      </c>
      <c r="G64" s="309" t="s">
        <v>253</v>
      </c>
      <c r="H64" s="309">
        <v>100405</v>
      </c>
      <c r="I64" s="310">
        <f t="shared" si="6"/>
        <v>42615</v>
      </c>
      <c r="J64" s="389">
        <v>200</v>
      </c>
      <c r="K64" s="269"/>
      <c r="L64" s="459"/>
      <c r="M64" s="389">
        <v>0.2</v>
      </c>
      <c r="N64" s="314">
        <f t="shared" si="1"/>
        <v>200.00020000000001</v>
      </c>
      <c r="O64" s="309">
        <v>0.3</v>
      </c>
      <c r="P64" s="339">
        <f t="shared" si="4"/>
        <v>0.88965063908070108</v>
      </c>
      <c r="Q64" s="309" t="str">
        <f t="shared" si="5"/>
        <v>M-002</v>
      </c>
      <c r="R64" s="307" t="s">
        <v>330</v>
      </c>
      <c r="AT64" s="289"/>
      <c r="AU64" s="286"/>
      <c r="AV64" s="286"/>
    </row>
    <row r="65" spans="2:50" ht="30" customHeight="1" x14ac:dyDescent="0.2">
      <c r="B65" s="514"/>
      <c r="C65" s="308" t="s">
        <v>252</v>
      </c>
      <c r="D65" s="309" t="s">
        <v>236</v>
      </c>
      <c r="E65" s="309" t="s">
        <v>335</v>
      </c>
      <c r="F65" s="309">
        <v>11119515</v>
      </c>
      <c r="G65" s="309">
        <v>200</v>
      </c>
      <c r="H65" s="309">
        <v>100405</v>
      </c>
      <c r="I65" s="310">
        <f t="shared" si="6"/>
        <v>42615</v>
      </c>
      <c r="J65" s="389">
        <v>200</v>
      </c>
      <c r="K65" s="269"/>
      <c r="L65" s="459"/>
      <c r="M65" s="389">
        <v>0.3</v>
      </c>
      <c r="N65" s="314">
        <f t="shared" si="1"/>
        <v>200.00030000000001</v>
      </c>
      <c r="O65" s="309">
        <v>0.3</v>
      </c>
      <c r="P65" s="339">
        <f t="shared" si="4"/>
        <v>0.88965063908070108</v>
      </c>
      <c r="Q65" s="309" t="str">
        <f t="shared" si="5"/>
        <v>M-002</v>
      </c>
      <c r="R65" s="307" t="s">
        <v>330</v>
      </c>
      <c r="AT65" s="289"/>
      <c r="AU65" s="286"/>
      <c r="AV65" s="286"/>
    </row>
    <row r="66" spans="2:50" ht="30" customHeight="1" x14ac:dyDescent="0.2">
      <c r="B66" s="514"/>
      <c r="C66" s="308" t="s">
        <v>254</v>
      </c>
      <c r="D66" s="309" t="s">
        <v>236</v>
      </c>
      <c r="E66" s="309" t="s">
        <v>335</v>
      </c>
      <c r="F66" s="309">
        <v>11119515</v>
      </c>
      <c r="G66" s="309">
        <v>500</v>
      </c>
      <c r="H66" s="309">
        <v>100405</v>
      </c>
      <c r="I66" s="310">
        <f t="shared" si="6"/>
        <v>42615</v>
      </c>
      <c r="J66" s="389">
        <v>500</v>
      </c>
      <c r="K66" s="269"/>
      <c r="L66" s="459"/>
      <c r="M66" s="389">
        <v>0.8</v>
      </c>
      <c r="N66" s="314">
        <f t="shared" si="1"/>
        <v>500.00080000000003</v>
      </c>
      <c r="O66" s="309">
        <v>0.8</v>
      </c>
      <c r="P66" s="339">
        <f t="shared" si="4"/>
        <v>0.88965063908070108</v>
      </c>
      <c r="Q66" s="309" t="str">
        <f t="shared" si="5"/>
        <v>M-002</v>
      </c>
      <c r="R66" s="307" t="s">
        <v>330</v>
      </c>
      <c r="AI66" s="340"/>
      <c r="AJ66" s="340"/>
      <c r="AK66" s="340"/>
      <c r="AQ66" s="341"/>
      <c r="AR66" s="341"/>
      <c r="AS66" s="289"/>
      <c r="AT66" s="289"/>
      <c r="AU66" s="286"/>
      <c r="AV66" s="286"/>
    </row>
    <row r="67" spans="2:50" ht="30" customHeight="1" x14ac:dyDescent="0.2">
      <c r="B67" s="514"/>
      <c r="C67" s="308" t="s">
        <v>255</v>
      </c>
      <c r="D67" s="309" t="s">
        <v>236</v>
      </c>
      <c r="E67" s="309" t="s">
        <v>335</v>
      </c>
      <c r="F67" s="309">
        <v>11119515</v>
      </c>
      <c r="G67" s="309">
        <v>1</v>
      </c>
      <c r="H67" s="309">
        <v>100405</v>
      </c>
      <c r="I67" s="310">
        <f t="shared" si="6"/>
        <v>42615</v>
      </c>
      <c r="J67" s="309">
        <v>1000</v>
      </c>
      <c r="K67" s="269"/>
      <c r="L67" s="269"/>
      <c r="M67" s="309">
        <v>1.9</v>
      </c>
      <c r="N67" s="314">
        <f t="shared" si="1"/>
        <v>1000.0019</v>
      </c>
      <c r="O67" s="309">
        <v>1.6</v>
      </c>
      <c r="P67" s="339">
        <f t="shared" si="4"/>
        <v>0.88965063908070108</v>
      </c>
      <c r="Q67" s="309" t="str">
        <f t="shared" si="5"/>
        <v>M-002</v>
      </c>
      <c r="R67" s="307" t="s">
        <v>330</v>
      </c>
      <c r="AI67" s="342"/>
      <c r="AJ67" s="342"/>
      <c r="AK67" s="342"/>
      <c r="AQ67" s="342"/>
      <c r="AR67" s="342"/>
      <c r="AS67" s="342"/>
      <c r="AT67" s="342"/>
      <c r="AU67" s="342"/>
      <c r="AV67" s="342"/>
      <c r="AW67" s="342"/>
      <c r="AX67" s="342"/>
    </row>
    <row r="68" spans="2:50" ht="30" customHeight="1" x14ac:dyDescent="0.2">
      <c r="B68" s="514"/>
      <c r="C68" s="308" t="s">
        <v>256</v>
      </c>
      <c r="D68" s="309" t="s">
        <v>236</v>
      </c>
      <c r="E68" s="309" t="s">
        <v>335</v>
      </c>
      <c r="F68" s="309">
        <v>11119515</v>
      </c>
      <c r="G68" s="309" t="s">
        <v>240</v>
      </c>
      <c r="H68" s="309">
        <v>100405</v>
      </c>
      <c r="I68" s="310">
        <f t="shared" si="6"/>
        <v>42615</v>
      </c>
      <c r="J68" s="309">
        <v>2000</v>
      </c>
      <c r="K68" s="269"/>
      <c r="L68" s="269"/>
      <c r="M68" s="315">
        <v>2.2000000000000002</v>
      </c>
      <c r="N68" s="314">
        <f t="shared" si="1"/>
        <v>2000.0021999999999</v>
      </c>
      <c r="O68" s="315">
        <v>3</v>
      </c>
      <c r="P68" s="339">
        <f t="shared" si="4"/>
        <v>0.88965063908070108</v>
      </c>
      <c r="Q68" s="309" t="str">
        <f t="shared" si="5"/>
        <v>M-002</v>
      </c>
      <c r="R68" s="307" t="s">
        <v>330</v>
      </c>
      <c r="AE68" s="342"/>
      <c r="AF68" s="342"/>
      <c r="AG68" s="342"/>
      <c r="AH68" s="342"/>
      <c r="AI68" s="342"/>
      <c r="AJ68" s="342"/>
      <c r="AK68" s="342"/>
      <c r="AQ68" s="342"/>
      <c r="AR68" s="342"/>
      <c r="AS68" s="342"/>
      <c r="AT68" s="342"/>
      <c r="AU68" s="342"/>
      <c r="AV68" s="342"/>
      <c r="AW68" s="342"/>
      <c r="AX68" s="342"/>
    </row>
    <row r="69" spans="2:50" ht="30" customHeight="1" x14ac:dyDescent="0.2">
      <c r="B69" s="514"/>
      <c r="C69" s="308" t="s">
        <v>257</v>
      </c>
      <c r="D69" s="309" t="s">
        <v>236</v>
      </c>
      <c r="E69" s="309" t="s">
        <v>335</v>
      </c>
      <c r="F69" s="309">
        <v>11119515</v>
      </c>
      <c r="G69" s="309">
        <v>2</v>
      </c>
      <c r="H69" s="309">
        <v>100405</v>
      </c>
      <c r="I69" s="310">
        <f t="shared" si="6"/>
        <v>42615</v>
      </c>
      <c r="J69" s="309">
        <v>2000</v>
      </c>
      <c r="K69" s="269"/>
      <c r="L69" s="269"/>
      <c r="M69" s="315">
        <v>2</v>
      </c>
      <c r="N69" s="314">
        <f t="shared" si="1"/>
        <v>2000.002</v>
      </c>
      <c r="O69" s="315">
        <v>3</v>
      </c>
      <c r="P69" s="339">
        <f t="shared" si="4"/>
        <v>0.88965063908070108</v>
      </c>
      <c r="Q69" s="309" t="str">
        <f t="shared" si="5"/>
        <v>M-002</v>
      </c>
      <c r="R69" s="307" t="s">
        <v>330</v>
      </c>
      <c r="S69" s="285"/>
      <c r="T69" s="285"/>
      <c r="U69" s="285"/>
      <c r="V69" s="285"/>
      <c r="W69" s="285"/>
      <c r="X69" s="285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  <c r="AI69" s="342"/>
      <c r="AJ69" s="342"/>
      <c r="AK69" s="342"/>
      <c r="AQ69" s="342"/>
      <c r="AR69" s="342"/>
      <c r="AS69" s="342"/>
      <c r="AT69" s="342"/>
      <c r="AU69" s="342"/>
      <c r="AV69" s="342"/>
      <c r="AW69" s="342"/>
      <c r="AX69" s="342"/>
    </row>
    <row r="70" spans="2:50" ht="30" customHeight="1" thickBot="1" x14ac:dyDescent="0.25">
      <c r="B70" s="515"/>
      <c r="C70" s="316" t="s">
        <v>258</v>
      </c>
      <c r="D70" s="317" t="s">
        <v>236</v>
      </c>
      <c r="E70" s="317" t="s">
        <v>335</v>
      </c>
      <c r="F70" s="317">
        <v>11119515</v>
      </c>
      <c r="G70" s="317">
        <v>5</v>
      </c>
      <c r="H70" s="317">
        <v>100405</v>
      </c>
      <c r="I70" s="318">
        <f t="shared" si="6"/>
        <v>42615</v>
      </c>
      <c r="J70" s="317">
        <v>5000</v>
      </c>
      <c r="K70" s="275"/>
      <c r="L70" s="275"/>
      <c r="M70" s="317">
        <v>5.9</v>
      </c>
      <c r="N70" s="343">
        <f t="shared" si="1"/>
        <v>5000.0059000000001</v>
      </c>
      <c r="O70" s="344">
        <v>8</v>
      </c>
      <c r="P70" s="345">
        <f t="shared" si="4"/>
        <v>0.88965063908070108</v>
      </c>
      <c r="Q70" s="317" t="str">
        <f t="shared" si="5"/>
        <v>M-002</v>
      </c>
      <c r="R70" s="346" t="s">
        <v>330</v>
      </c>
      <c r="S70" s="285"/>
      <c r="T70" s="285"/>
      <c r="U70" s="285"/>
      <c r="V70" s="285"/>
      <c r="W70" s="285"/>
      <c r="X70" s="285"/>
      <c r="Y70" s="342"/>
      <c r="Z70" s="342"/>
      <c r="AA70" s="342"/>
      <c r="AB70" s="342"/>
      <c r="AC70" s="342"/>
      <c r="AD70" s="342"/>
      <c r="AE70" s="342"/>
      <c r="AF70" s="342"/>
      <c r="AG70" s="342"/>
      <c r="AH70" s="342"/>
      <c r="AI70" s="342"/>
      <c r="AJ70" s="342"/>
      <c r="AK70" s="342"/>
      <c r="AQ70" s="342"/>
      <c r="AR70" s="342"/>
      <c r="AS70" s="342"/>
      <c r="AT70" s="342"/>
      <c r="AU70" s="342"/>
      <c r="AV70" s="342"/>
      <c r="AW70" s="342"/>
      <c r="AX70" s="342"/>
    </row>
    <row r="71" spans="2:50" ht="30" customHeight="1" thickBot="1" x14ac:dyDescent="0.25">
      <c r="B71" s="347" t="s">
        <v>334</v>
      </c>
      <c r="C71" s="321" t="s">
        <v>259</v>
      </c>
      <c r="D71" s="322" t="s">
        <v>236</v>
      </c>
      <c r="E71" s="322" t="s">
        <v>335</v>
      </c>
      <c r="F71" s="322">
        <v>11119467</v>
      </c>
      <c r="G71" s="322">
        <v>10</v>
      </c>
      <c r="H71" s="322">
        <v>1257</v>
      </c>
      <c r="I71" s="323">
        <v>42692</v>
      </c>
      <c r="J71" s="322">
        <v>10000</v>
      </c>
      <c r="K71" s="348"/>
      <c r="L71" s="348"/>
      <c r="M71" s="322">
        <v>8</v>
      </c>
      <c r="N71" s="325">
        <f t="shared" si="1"/>
        <v>10000.008</v>
      </c>
      <c r="O71" s="322">
        <v>16</v>
      </c>
      <c r="P71" s="306">
        <f>(0.34848*((750.712+752.294)/2)-0.009024*((52.2+56.3)/2)*EXP(0.0612*((20.3+20.4)/2)))/(273.15+((20.3+20.4)/2))</f>
        <v>0.88648336980110287</v>
      </c>
      <c r="Q71" s="322" t="s">
        <v>260</v>
      </c>
      <c r="R71" s="327" t="s">
        <v>330</v>
      </c>
      <c r="S71" s="285"/>
      <c r="T71" s="285"/>
      <c r="U71" s="285"/>
      <c r="V71" s="285"/>
      <c r="W71" s="285"/>
      <c r="X71" s="285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Q71" s="342"/>
      <c r="AR71" s="342"/>
      <c r="AS71" s="342"/>
      <c r="AT71" s="342"/>
      <c r="AU71" s="342"/>
      <c r="AV71" s="342"/>
      <c r="AW71" s="342"/>
      <c r="AX71" s="342"/>
    </row>
    <row r="72" spans="2:50" ht="30" customHeight="1" thickBot="1" x14ac:dyDescent="0.25">
      <c r="B72" s="347" t="s">
        <v>334</v>
      </c>
      <c r="C72" s="332" t="s">
        <v>261</v>
      </c>
      <c r="D72" s="333" t="s">
        <v>236</v>
      </c>
      <c r="E72" s="333" t="s">
        <v>335</v>
      </c>
      <c r="F72" s="333">
        <v>11119468</v>
      </c>
      <c r="G72" s="333">
        <v>20</v>
      </c>
      <c r="H72" s="333">
        <v>1258</v>
      </c>
      <c r="I72" s="334">
        <v>42695</v>
      </c>
      <c r="J72" s="333">
        <v>20000</v>
      </c>
      <c r="K72" s="270"/>
      <c r="L72" s="270"/>
      <c r="M72" s="333">
        <v>0</v>
      </c>
      <c r="N72" s="349">
        <f t="shared" si="1"/>
        <v>20000</v>
      </c>
      <c r="O72" s="333">
        <v>30</v>
      </c>
      <c r="P72" s="350">
        <f>(0.34848*((751.3+751.5)/2)-0.009024*((54.1+55.5)/2)*EXP(0.0612*((19.7+20.3)/2)))/(273.15+((19.7+20.3)/2))</f>
        <v>0.88748470987269767</v>
      </c>
      <c r="Q72" s="333" t="s">
        <v>262</v>
      </c>
      <c r="R72" s="351" t="s">
        <v>330</v>
      </c>
      <c r="S72" s="285"/>
      <c r="T72" s="285"/>
      <c r="U72" s="285"/>
      <c r="V72" s="285"/>
      <c r="W72" s="285"/>
      <c r="X72" s="285"/>
      <c r="Y72" s="342"/>
      <c r="Z72" s="342"/>
      <c r="AA72" s="342"/>
      <c r="AB72" s="342"/>
      <c r="AC72" s="342"/>
      <c r="AD72" s="342"/>
      <c r="AE72" s="342"/>
      <c r="AF72" s="342"/>
      <c r="AG72" s="342"/>
      <c r="AH72" s="342"/>
      <c r="AI72" s="342"/>
      <c r="AJ72" s="342"/>
      <c r="AK72" s="342"/>
      <c r="AQ72" s="342"/>
      <c r="AR72" s="342"/>
      <c r="AS72" s="342"/>
      <c r="AT72" s="342"/>
      <c r="AU72" s="342"/>
      <c r="AV72" s="342"/>
      <c r="AW72" s="342"/>
      <c r="AX72" s="342"/>
    </row>
    <row r="73" spans="2:50" ht="30" customHeight="1" x14ac:dyDescent="0.2">
      <c r="B73" s="513" t="s">
        <v>333</v>
      </c>
      <c r="C73" s="302" t="s">
        <v>263</v>
      </c>
      <c r="D73" s="303" t="s">
        <v>236</v>
      </c>
      <c r="E73" s="303" t="s">
        <v>264</v>
      </c>
      <c r="F73" s="303" t="s">
        <v>336</v>
      </c>
      <c r="G73" s="303" t="s">
        <v>266</v>
      </c>
      <c r="H73" s="303" t="s">
        <v>267</v>
      </c>
      <c r="I73" s="304">
        <v>42683</v>
      </c>
      <c r="J73" s="303">
        <v>1</v>
      </c>
      <c r="K73" s="274"/>
      <c r="L73" s="274"/>
      <c r="M73" s="305">
        <v>0.04</v>
      </c>
      <c r="N73" s="338">
        <f t="shared" si="1"/>
        <v>1.00004</v>
      </c>
      <c r="O73" s="303">
        <v>3.3000000000000002E-2</v>
      </c>
      <c r="P73" s="352">
        <v>0.88229999999999997</v>
      </c>
      <c r="Q73" s="303" t="s">
        <v>268</v>
      </c>
      <c r="R73" s="307" t="s">
        <v>329</v>
      </c>
      <c r="S73" s="285"/>
      <c r="T73" s="285"/>
      <c r="U73" s="285"/>
      <c r="V73" s="285"/>
      <c r="W73" s="285"/>
      <c r="X73" s="285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342"/>
      <c r="AK73" s="342"/>
      <c r="AL73" s="342"/>
      <c r="AM73" s="342"/>
      <c r="AN73" s="342"/>
      <c r="AO73" s="342"/>
      <c r="AP73" s="342"/>
      <c r="AQ73" s="342"/>
      <c r="AR73" s="342"/>
      <c r="AS73" s="342"/>
      <c r="AT73" s="342"/>
      <c r="AU73" s="342"/>
      <c r="AV73" s="342"/>
      <c r="AW73" s="342"/>
      <c r="AX73" s="342"/>
    </row>
    <row r="74" spans="2:50" ht="30" customHeight="1" x14ac:dyDescent="0.2">
      <c r="B74" s="514"/>
      <c r="C74" s="308" t="s">
        <v>269</v>
      </c>
      <c r="D74" s="309" t="s">
        <v>236</v>
      </c>
      <c r="E74" s="309" t="s">
        <v>264</v>
      </c>
      <c r="F74" s="303" t="s">
        <v>336</v>
      </c>
      <c r="G74" s="309" t="s">
        <v>266</v>
      </c>
      <c r="H74" s="309" t="s">
        <v>267</v>
      </c>
      <c r="I74" s="304">
        <v>42683</v>
      </c>
      <c r="J74" s="309">
        <v>2</v>
      </c>
      <c r="K74" s="269"/>
      <c r="L74" s="269"/>
      <c r="M74" s="331">
        <v>0.04</v>
      </c>
      <c r="N74" s="311">
        <f t="shared" si="1"/>
        <v>2.0000399999999998</v>
      </c>
      <c r="O74" s="331">
        <v>0.04</v>
      </c>
      <c r="P74" s="353">
        <v>0.88200000000000001</v>
      </c>
      <c r="Q74" s="309" t="str">
        <f>Q73</f>
        <v>M-016</v>
      </c>
      <c r="R74" s="307" t="s">
        <v>329</v>
      </c>
      <c r="S74" s="285"/>
      <c r="T74" s="285"/>
      <c r="U74" s="285"/>
      <c r="V74" s="285"/>
      <c r="W74" s="285"/>
      <c r="X74" s="285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342"/>
      <c r="AS74" s="342"/>
      <c r="AT74" s="342"/>
      <c r="AU74" s="342"/>
      <c r="AV74" s="342"/>
      <c r="AW74" s="342"/>
      <c r="AX74" s="342"/>
    </row>
    <row r="75" spans="2:50" ht="30" customHeight="1" x14ac:dyDescent="0.2">
      <c r="B75" s="514"/>
      <c r="C75" s="308" t="s">
        <v>270</v>
      </c>
      <c r="D75" s="309" t="s">
        <v>236</v>
      </c>
      <c r="E75" s="309" t="s">
        <v>264</v>
      </c>
      <c r="F75" s="303" t="s">
        <v>336</v>
      </c>
      <c r="G75" s="309" t="s">
        <v>271</v>
      </c>
      <c r="H75" s="309" t="s">
        <v>267</v>
      </c>
      <c r="I75" s="304">
        <v>42683</v>
      </c>
      <c r="J75" s="309">
        <v>2</v>
      </c>
      <c r="K75" s="269"/>
      <c r="L75" s="269"/>
      <c r="M75" s="309">
        <v>5.3999999999999999E-2</v>
      </c>
      <c r="N75" s="329">
        <f t="shared" si="1"/>
        <v>2.000054</v>
      </c>
      <c r="O75" s="331">
        <v>0.04</v>
      </c>
      <c r="P75" s="313">
        <v>0.88190000000000002</v>
      </c>
      <c r="Q75" s="309" t="str">
        <f t="shared" ref="Q75:Q88" si="7">Q74</f>
        <v>M-016</v>
      </c>
      <c r="R75" s="307" t="s">
        <v>329</v>
      </c>
      <c r="U75" s="285"/>
      <c r="V75" s="285"/>
      <c r="W75" s="285"/>
      <c r="X75" s="285"/>
      <c r="Y75" s="342"/>
      <c r="Z75" s="342"/>
      <c r="AA75" s="342"/>
      <c r="AB75" s="342"/>
      <c r="AC75" s="342"/>
      <c r="AD75" s="342"/>
      <c r="AE75" s="342"/>
      <c r="AF75" s="342"/>
      <c r="AG75" s="342"/>
      <c r="AH75" s="342"/>
      <c r="AI75" s="342"/>
      <c r="AJ75" s="342"/>
      <c r="AK75" s="342"/>
      <c r="AL75" s="342"/>
      <c r="AM75" s="342"/>
      <c r="AN75" s="342"/>
      <c r="AO75" s="342"/>
      <c r="AP75" s="342"/>
      <c r="AQ75" s="342"/>
      <c r="AR75" s="342"/>
      <c r="AS75" s="342"/>
      <c r="AT75" s="342"/>
      <c r="AU75" s="342"/>
      <c r="AV75" s="342"/>
      <c r="AW75" s="342"/>
      <c r="AX75" s="342"/>
    </row>
    <row r="76" spans="2:50" ht="30" customHeight="1" x14ac:dyDescent="0.2">
      <c r="B76" s="514"/>
      <c r="C76" s="308" t="s">
        <v>272</v>
      </c>
      <c r="D76" s="309" t="s">
        <v>236</v>
      </c>
      <c r="E76" s="309" t="s">
        <v>264</v>
      </c>
      <c r="F76" s="303" t="s">
        <v>336</v>
      </c>
      <c r="G76" s="309" t="s">
        <v>266</v>
      </c>
      <c r="H76" s="309" t="s">
        <v>267</v>
      </c>
      <c r="I76" s="304">
        <v>42683</v>
      </c>
      <c r="J76" s="309">
        <v>5</v>
      </c>
      <c r="K76" s="269"/>
      <c r="L76" s="269"/>
      <c r="M76" s="309">
        <v>8.7999999999999995E-2</v>
      </c>
      <c r="N76" s="329">
        <f t="shared" si="1"/>
        <v>5.0000879999999999</v>
      </c>
      <c r="O76" s="309">
        <v>5.2999999999999999E-2</v>
      </c>
      <c r="P76" s="353">
        <v>0.88200000000000001</v>
      </c>
      <c r="Q76" s="309" t="str">
        <f t="shared" si="7"/>
        <v>M-016</v>
      </c>
      <c r="R76" s="307" t="s">
        <v>329</v>
      </c>
      <c r="U76" s="285"/>
      <c r="V76" s="285"/>
      <c r="W76" s="285"/>
      <c r="X76" s="285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2"/>
      <c r="AL76" s="342"/>
      <c r="AM76" s="342"/>
      <c r="AN76" s="342"/>
      <c r="AO76" s="342"/>
      <c r="AP76" s="342"/>
      <c r="AQ76" s="342"/>
      <c r="AR76" s="342"/>
      <c r="AS76" s="342"/>
      <c r="AT76" s="342"/>
      <c r="AU76" s="342"/>
      <c r="AV76" s="342"/>
      <c r="AW76" s="342"/>
      <c r="AX76" s="342"/>
    </row>
    <row r="77" spans="2:50" ht="30" customHeight="1" x14ac:dyDescent="0.2">
      <c r="B77" s="514"/>
      <c r="C77" s="308" t="s">
        <v>273</v>
      </c>
      <c r="D77" s="309" t="s">
        <v>236</v>
      </c>
      <c r="E77" s="309" t="s">
        <v>264</v>
      </c>
      <c r="F77" s="303" t="s">
        <v>336</v>
      </c>
      <c r="G77" s="309" t="s">
        <v>266</v>
      </c>
      <c r="H77" s="309" t="s">
        <v>267</v>
      </c>
      <c r="I77" s="304">
        <v>42683</v>
      </c>
      <c r="J77" s="309">
        <v>10</v>
      </c>
      <c r="K77" s="269"/>
      <c r="L77" s="269"/>
      <c r="M77" s="309">
        <v>8.7999999999999995E-2</v>
      </c>
      <c r="N77" s="329">
        <f t="shared" si="1"/>
        <v>10.000088</v>
      </c>
      <c r="O77" s="309">
        <v>6.7000000000000004E-2</v>
      </c>
      <c r="P77" s="313">
        <v>0.8821</v>
      </c>
      <c r="Q77" s="309" t="str">
        <f t="shared" si="7"/>
        <v>M-016</v>
      </c>
      <c r="R77" s="307" t="s">
        <v>329</v>
      </c>
      <c r="U77" s="285"/>
      <c r="V77" s="285"/>
      <c r="W77" s="285"/>
      <c r="X77" s="285"/>
      <c r="Y77" s="285"/>
      <c r="Z77" s="285"/>
      <c r="AA77" s="342"/>
      <c r="AB77" s="342"/>
      <c r="AC77" s="342"/>
      <c r="AD77" s="342"/>
      <c r="AE77" s="342"/>
      <c r="AF77" s="342"/>
      <c r="AG77" s="342"/>
      <c r="AH77" s="342"/>
      <c r="AI77" s="342"/>
      <c r="AJ77" s="342"/>
      <c r="AK77" s="342"/>
      <c r="AL77" s="342"/>
      <c r="AM77" s="342"/>
      <c r="AN77" s="342"/>
      <c r="AO77" s="342"/>
      <c r="AP77" s="342"/>
      <c r="AQ77" s="342"/>
      <c r="AR77" s="342"/>
      <c r="AS77" s="342"/>
      <c r="AT77" s="342"/>
      <c r="AU77" s="342"/>
      <c r="AV77" s="342"/>
      <c r="AW77" s="342"/>
      <c r="AX77" s="342"/>
    </row>
    <row r="78" spans="2:50" ht="30" customHeight="1" x14ac:dyDescent="0.2">
      <c r="B78" s="514"/>
      <c r="C78" s="308" t="s">
        <v>274</v>
      </c>
      <c r="D78" s="309" t="s">
        <v>236</v>
      </c>
      <c r="E78" s="309" t="s">
        <v>264</v>
      </c>
      <c r="F78" s="303" t="s">
        <v>336</v>
      </c>
      <c r="G78" s="309" t="s">
        <v>266</v>
      </c>
      <c r="H78" s="309" t="s">
        <v>267</v>
      </c>
      <c r="I78" s="304">
        <v>42683</v>
      </c>
      <c r="J78" s="309">
        <v>20</v>
      </c>
      <c r="K78" s="269"/>
      <c r="L78" s="269"/>
      <c r="M78" s="309">
        <v>9.2999999999999999E-2</v>
      </c>
      <c r="N78" s="329">
        <f t="shared" si="1"/>
        <v>20.000093</v>
      </c>
      <c r="O78" s="309">
        <v>8.3000000000000004E-2</v>
      </c>
      <c r="P78" s="313">
        <v>0.88229999999999997</v>
      </c>
      <c r="Q78" s="309" t="str">
        <f t="shared" si="7"/>
        <v>M-016</v>
      </c>
      <c r="R78" s="307" t="s">
        <v>329</v>
      </c>
      <c r="U78" s="285"/>
      <c r="V78" s="285"/>
      <c r="W78" s="285"/>
      <c r="X78" s="285"/>
      <c r="Y78" s="285"/>
      <c r="Z78" s="285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2"/>
      <c r="AO78" s="342"/>
      <c r="AP78" s="342"/>
      <c r="AQ78" s="342"/>
      <c r="AR78" s="342"/>
      <c r="AS78" s="342"/>
      <c r="AT78" s="342"/>
      <c r="AU78" s="342"/>
      <c r="AV78" s="342"/>
      <c r="AW78" s="342"/>
      <c r="AX78" s="342"/>
    </row>
    <row r="79" spans="2:50" ht="30" customHeight="1" x14ac:dyDescent="0.2">
      <c r="B79" s="514"/>
      <c r="C79" s="308" t="s">
        <v>275</v>
      </c>
      <c r="D79" s="309" t="s">
        <v>236</v>
      </c>
      <c r="E79" s="309" t="s">
        <v>264</v>
      </c>
      <c r="F79" s="303" t="s">
        <v>336</v>
      </c>
      <c r="G79" s="309" t="s">
        <v>271</v>
      </c>
      <c r="H79" s="309" t="s">
        <v>267</v>
      </c>
      <c r="I79" s="304">
        <v>42683</v>
      </c>
      <c r="J79" s="309">
        <v>20</v>
      </c>
      <c r="K79" s="269"/>
      <c r="L79" s="269"/>
      <c r="M79" s="309">
        <v>9.0999999999999998E-2</v>
      </c>
      <c r="N79" s="329">
        <f t="shared" si="1"/>
        <v>20.000091000000001</v>
      </c>
      <c r="O79" s="309">
        <v>8.3000000000000004E-2</v>
      </c>
      <c r="P79" s="313">
        <v>0.88239999999999996</v>
      </c>
      <c r="Q79" s="309" t="str">
        <f t="shared" si="7"/>
        <v>M-016</v>
      </c>
      <c r="R79" s="307" t="s">
        <v>329</v>
      </c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2"/>
      <c r="AR79" s="342"/>
      <c r="AS79" s="342"/>
      <c r="AT79" s="342"/>
      <c r="AU79" s="342"/>
      <c r="AV79" s="342"/>
      <c r="AW79" s="342"/>
      <c r="AX79" s="342"/>
    </row>
    <row r="80" spans="2:50" ht="30" customHeight="1" x14ac:dyDescent="0.2">
      <c r="B80" s="514"/>
      <c r="C80" s="308" t="s">
        <v>276</v>
      </c>
      <c r="D80" s="309" t="s">
        <v>236</v>
      </c>
      <c r="E80" s="309" t="s">
        <v>264</v>
      </c>
      <c r="F80" s="303" t="s">
        <v>336</v>
      </c>
      <c r="G80" s="309" t="s">
        <v>266</v>
      </c>
      <c r="H80" s="309" t="s">
        <v>267</v>
      </c>
      <c r="I80" s="304">
        <v>42683</v>
      </c>
      <c r="J80" s="309">
        <v>50</v>
      </c>
      <c r="K80" s="269"/>
      <c r="L80" s="269"/>
      <c r="M80" s="309">
        <v>0.08</v>
      </c>
      <c r="N80" s="311">
        <f t="shared" si="1"/>
        <v>50.000079999999997</v>
      </c>
      <c r="O80" s="312">
        <v>0.1</v>
      </c>
      <c r="P80" s="313">
        <v>0.88239999999999996</v>
      </c>
      <c r="Q80" s="309" t="str">
        <f t="shared" si="7"/>
        <v>M-016</v>
      </c>
      <c r="R80" s="307" t="s">
        <v>329</v>
      </c>
      <c r="U80" s="342"/>
      <c r="V80" s="342"/>
      <c r="W80" s="342"/>
      <c r="X80" s="342"/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342"/>
      <c r="AO80" s="342"/>
      <c r="AP80" s="342"/>
      <c r="AQ80" s="342"/>
      <c r="AR80" s="342"/>
      <c r="AS80" s="342"/>
      <c r="AT80" s="342"/>
      <c r="AU80" s="342"/>
      <c r="AV80" s="342"/>
      <c r="AW80" s="342"/>
      <c r="AX80" s="342"/>
    </row>
    <row r="81" spans="2:50" ht="30" customHeight="1" x14ac:dyDescent="0.2">
      <c r="B81" s="514"/>
      <c r="C81" s="308" t="s">
        <v>277</v>
      </c>
      <c r="D81" s="309" t="s">
        <v>236</v>
      </c>
      <c r="E81" s="309" t="s">
        <v>264</v>
      </c>
      <c r="F81" s="303" t="s">
        <v>336</v>
      </c>
      <c r="G81" s="309" t="s">
        <v>266</v>
      </c>
      <c r="H81" s="309" t="s">
        <v>267</v>
      </c>
      <c r="I81" s="304">
        <v>42683</v>
      </c>
      <c r="J81" s="309">
        <v>100</v>
      </c>
      <c r="K81" s="269"/>
      <c r="L81" s="269"/>
      <c r="M81" s="309">
        <v>0.08</v>
      </c>
      <c r="N81" s="311">
        <f t="shared" si="1"/>
        <v>100.00008</v>
      </c>
      <c r="O81" s="309">
        <v>0.17</v>
      </c>
      <c r="P81" s="313">
        <v>0.88539999999999996</v>
      </c>
      <c r="Q81" s="309" t="str">
        <f t="shared" si="7"/>
        <v>M-016</v>
      </c>
      <c r="R81" s="307" t="s">
        <v>329</v>
      </c>
      <c r="U81" s="285"/>
      <c r="V81" s="285"/>
      <c r="W81" s="285"/>
      <c r="X81" s="285"/>
      <c r="Y81" s="285"/>
      <c r="Z81" s="285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V81" s="342"/>
      <c r="AW81" s="342"/>
      <c r="AX81" s="342"/>
    </row>
    <row r="82" spans="2:50" ht="30" customHeight="1" x14ac:dyDescent="0.2">
      <c r="B82" s="514"/>
      <c r="C82" s="308" t="s">
        <v>278</v>
      </c>
      <c r="D82" s="309" t="s">
        <v>236</v>
      </c>
      <c r="E82" s="309" t="s">
        <v>264</v>
      </c>
      <c r="F82" s="303" t="s">
        <v>336</v>
      </c>
      <c r="G82" s="309" t="s">
        <v>266</v>
      </c>
      <c r="H82" s="309" t="s">
        <v>267</v>
      </c>
      <c r="I82" s="304">
        <v>42683</v>
      </c>
      <c r="J82" s="309">
        <v>200</v>
      </c>
      <c r="K82" s="269"/>
      <c r="L82" s="269"/>
      <c r="M82" s="309">
        <v>0.28999999999999998</v>
      </c>
      <c r="N82" s="311">
        <f t="shared" si="1"/>
        <v>200.00029000000001</v>
      </c>
      <c r="O82" s="309">
        <v>0.33</v>
      </c>
      <c r="P82" s="313">
        <v>0.88519999999999999</v>
      </c>
      <c r="Q82" s="309" t="str">
        <f t="shared" si="7"/>
        <v>M-016</v>
      </c>
      <c r="R82" s="307" t="s">
        <v>329</v>
      </c>
      <c r="U82" s="285"/>
      <c r="V82" s="285"/>
      <c r="W82" s="285"/>
      <c r="X82" s="285"/>
      <c r="Y82" s="285"/>
      <c r="Z82" s="285"/>
      <c r="AA82" s="342"/>
      <c r="AB82" s="342"/>
      <c r="AC82" s="342"/>
      <c r="AD82" s="342"/>
      <c r="AE82" s="342"/>
      <c r="AF82" s="342"/>
      <c r="AG82" s="342"/>
      <c r="AH82" s="342"/>
      <c r="AI82" s="342"/>
      <c r="AJ82" s="342"/>
      <c r="AK82" s="342"/>
      <c r="AV82" s="342"/>
      <c r="AW82" s="342"/>
      <c r="AX82" s="342"/>
    </row>
    <row r="83" spans="2:50" ht="30" customHeight="1" x14ac:dyDescent="0.2">
      <c r="B83" s="514"/>
      <c r="C83" s="308" t="s">
        <v>279</v>
      </c>
      <c r="D83" s="309" t="s">
        <v>236</v>
      </c>
      <c r="E83" s="309" t="s">
        <v>264</v>
      </c>
      <c r="F83" s="303" t="s">
        <v>336</v>
      </c>
      <c r="G83" s="309" t="s">
        <v>271</v>
      </c>
      <c r="H83" s="309" t="s">
        <v>267</v>
      </c>
      <c r="I83" s="304">
        <v>42683</v>
      </c>
      <c r="J83" s="309">
        <v>200</v>
      </c>
      <c r="K83" s="269"/>
      <c r="L83" s="269"/>
      <c r="M83" s="309">
        <v>0.33</v>
      </c>
      <c r="N83" s="311">
        <f t="shared" si="1"/>
        <v>200.00032999999999</v>
      </c>
      <c r="O83" s="309">
        <v>0.33</v>
      </c>
      <c r="P83" s="353">
        <v>0.88500000000000001</v>
      </c>
      <c r="Q83" s="309" t="str">
        <f t="shared" si="7"/>
        <v>M-016</v>
      </c>
      <c r="R83" s="307" t="s">
        <v>329</v>
      </c>
      <c r="U83" s="285"/>
      <c r="V83" s="285"/>
      <c r="W83" s="285"/>
      <c r="X83" s="285"/>
      <c r="Y83" s="285"/>
      <c r="Z83" s="285"/>
      <c r="AA83" s="342"/>
      <c r="AB83" s="342"/>
      <c r="AC83" s="342"/>
      <c r="AD83" s="342"/>
      <c r="AE83" s="342"/>
      <c r="AF83" s="342"/>
      <c r="AG83" s="342"/>
      <c r="AH83" s="342"/>
      <c r="AI83" s="342"/>
      <c r="AJ83" s="342"/>
      <c r="AK83" s="342"/>
      <c r="AV83" s="342"/>
      <c r="AW83" s="342"/>
      <c r="AX83" s="342"/>
    </row>
    <row r="84" spans="2:50" ht="30" customHeight="1" x14ac:dyDescent="0.2">
      <c r="B84" s="514"/>
      <c r="C84" s="308" t="s">
        <v>280</v>
      </c>
      <c r="D84" s="309" t="s">
        <v>236</v>
      </c>
      <c r="E84" s="309" t="s">
        <v>264</v>
      </c>
      <c r="F84" s="303" t="s">
        <v>336</v>
      </c>
      <c r="G84" s="309" t="s">
        <v>266</v>
      </c>
      <c r="H84" s="309" t="s">
        <v>267</v>
      </c>
      <c r="I84" s="304">
        <v>42683</v>
      </c>
      <c r="J84" s="309">
        <v>500</v>
      </c>
      <c r="K84" s="269"/>
      <c r="L84" s="269"/>
      <c r="M84" s="309">
        <v>0.94</v>
      </c>
      <c r="N84" s="311">
        <f t="shared" si="1"/>
        <v>500.00094000000001</v>
      </c>
      <c r="O84" s="309">
        <v>0.83</v>
      </c>
      <c r="P84" s="313">
        <v>0.88539999999999996</v>
      </c>
      <c r="Q84" s="309" t="str">
        <f t="shared" si="7"/>
        <v>M-016</v>
      </c>
      <c r="R84" s="307" t="s">
        <v>329</v>
      </c>
      <c r="S84" s="285"/>
      <c r="T84" s="285"/>
      <c r="U84" s="285"/>
      <c r="V84" s="285"/>
      <c r="W84" s="285"/>
      <c r="X84" s="285"/>
      <c r="Y84" s="285"/>
      <c r="Z84" s="285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V84" s="342"/>
      <c r="AW84" s="342"/>
      <c r="AX84" s="342"/>
    </row>
    <row r="85" spans="2:50" ht="30" customHeight="1" x14ac:dyDescent="0.2">
      <c r="B85" s="514"/>
      <c r="C85" s="308" t="s">
        <v>281</v>
      </c>
      <c r="D85" s="309" t="s">
        <v>236</v>
      </c>
      <c r="E85" s="309" t="s">
        <v>264</v>
      </c>
      <c r="F85" s="303" t="s">
        <v>336</v>
      </c>
      <c r="G85" s="309" t="s">
        <v>266</v>
      </c>
      <c r="H85" s="309" t="s">
        <v>267</v>
      </c>
      <c r="I85" s="304">
        <v>42683</v>
      </c>
      <c r="J85" s="309">
        <v>1000</v>
      </c>
      <c r="K85" s="269"/>
      <c r="L85" s="269"/>
      <c r="M85" s="315">
        <v>0</v>
      </c>
      <c r="N85" s="314">
        <f t="shared" si="1"/>
        <v>1000</v>
      </c>
      <c r="O85" s="309">
        <v>1.7</v>
      </c>
      <c r="P85" s="313">
        <v>0.88449999999999995</v>
      </c>
      <c r="Q85" s="309" t="str">
        <f t="shared" si="7"/>
        <v>M-016</v>
      </c>
      <c r="R85" s="307" t="s">
        <v>329</v>
      </c>
      <c r="S85" s="285"/>
      <c r="T85" s="285"/>
      <c r="U85" s="285"/>
      <c r="V85" s="285"/>
      <c r="W85" s="285"/>
      <c r="X85" s="285"/>
      <c r="Y85" s="285"/>
      <c r="Z85" s="285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V85" s="342"/>
      <c r="AW85" s="342"/>
      <c r="AX85" s="342"/>
    </row>
    <row r="86" spans="2:50" ht="30" customHeight="1" x14ac:dyDescent="0.2">
      <c r="B86" s="514"/>
      <c r="C86" s="308" t="s">
        <v>282</v>
      </c>
      <c r="D86" s="309" t="s">
        <v>236</v>
      </c>
      <c r="E86" s="309" t="s">
        <v>264</v>
      </c>
      <c r="F86" s="303" t="s">
        <v>336</v>
      </c>
      <c r="G86" s="309" t="s">
        <v>266</v>
      </c>
      <c r="H86" s="309" t="s">
        <v>267</v>
      </c>
      <c r="I86" s="304">
        <v>42683</v>
      </c>
      <c r="J86" s="309">
        <v>2000</v>
      </c>
      <c r="K86" s="269"/>
      <c r="L86" s="269"/>
      <c r="M86" s="315">
        <v>3</v>
      </c>
      <c r="N86" s="314">
        <f t="shared" si="1"/>
        <v>2000.0029999999999</v>
      </c>
      <c r="O86" s="309">
        <v>3.3</v>
      </c>
      <c r="P86" s="313">
        <v>0.88429999999999997</v>
      </c>
      <c r="Q86" s="309" t="str">
        <f t="shared" si="7"/>
        <v>M-016</v>
      </c>
      <c r="R86" s="307" t="s">
        <v>329</v>
      </c>
      <c r="S86" s="285"/>
      <c r="T86" s="285"/>
      <c r="U86" s="285"/>
      <c r="V86" s="285"/>
      <c r="W86" s="285"/>
      <c r="X86" s="285"/>
      <c r="Y86" s="285"/>
      <c r="Z86" s="285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V86" s="342"/>
      <c r="AW86" s="342"/>
      <c r="AX86" s="342"/>
    </row>
    <row r="87" spans="2:50" ht="30" customHeight="1" x14ac:dyDescent="0.2">
      <c r="B87" s="514"/>
      <c r="C87" s="308" t="s">
        <v>283</v>
      </c>
      <c r="D87" s="309" t="s">
        <v>236</v>
      </c>
      <c r="E87" s="309" t="s">
        <v>264</v>
      </c>
      <c r="F87" s="303" t="s">
        <v>336</v>
      </c>
      <c r="G87" s="309" t="s">
        <v>271</v>
      </c>
      <c r="H87" s="309" t="s">
        <v>267</v>
      </c>
      <c r="I87" s="304">
        <v>42683</v>
      </c>
      <c r="J87" s="309">
        <v>2000</v>
      </c>
      <c r="K87" s="269"/>
      <c r="L87" s="269"/>
      <c r="M87" s="309">
        <v>3.9</v>
      </c>
      <c r="N87" s="314">
        <f t="shared" si="1"/>
        <v>2000.0038999999999</v>
      </c>
      <c r="O87" s="309">
        <v>3.3</v>
      </c>
      <c r="P87" s="313">
        <v>0.8841</v>
      </c>
      <c r="Q87" s="309" t="str">
        <f>Q86</f>
        <v>M-016</v>
      </c>
      <c r="R87" s="307" t="s">
        <v>329</v>
      </c>
      <c r="S87" s="285"/>
      <c r="T87" s="285"/>
      <c r="U87" s="285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V87" s="342"/>
      <c r="AW87" s="342"/>
      <c r="AX87" s="342"/>
    </row>
    <row r="88" spans="2:50" ht="30" customHeight="1" thickBot="1" x14ac:dyDescent="0.25">
      <c r="B88" s="515"/>
      <c r="C88" s="332" t="s">
        <v>284</v>
      </c>
      <c r="D88" s="333" t="s">
        <v>236</v>
      </c>
      <c r="E88" s="333" t="s">
        <v>264</v>
      </c>
      <c r="F88" s="303" t="s">
        <v>336</v>
      </c>
      <c r="G88" s="333" t="s">
        <v>266</v>
      </c>
      <c r="H88" s="333" t="s">
        <v>267</v>
      </c>
      <c r="I88" s="304">
        <v>42683</v>
      </c>
      <c r="J88" s="333">
        <v>5000</v>
      </c>
      <c r="K88" s="270"/>
      <c r="L88" s="270"/>
      <c r="M88" s="333">
        <v>7.7</v>
      </c>
      <c r="N88" s="335">
        <f t="shared" si="1"/>
        <v>5000.0077000000001</v>
      </c>
      <c r="O88" s="333">
        <v>8.3000000000000007</v>
      </c>
      <c r="P88" s="354">
        <v>0.88370000000000004</v>
      </c>
      <c r="Q88" s="333" t="str">
        <f t="shared" si="7"/>
        <v>M-016</v>
      </c>
      <c r="R88" s="307" t="s">
        <v>329</v>
      </c>
      <c r="U88" s="285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V88" s="342"/>
      <c r="AW88" s="342"/>
      <c r="AX88" s="342"/>
    </row>
    <row r="89" spans="2:50" ht="30" customHeight="1" x14ac:dyDescent="0.2">
      <c r="B89" s="355"/>
      <c r="U89" s="285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V89" s="342"/>
      <c r="AW89" s="342"/>
      <c r="AX89" s="342"/>
    </row>
    <row r="90" spans="2:50" ht="30" customHeight="1" x14ac:dyDescent="0.2">
      <c r="B90" s="355"/>
      <c r="U90" s="285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V90" s="342"/>
      <c r="AW90" s="342"/>
      <c r="AX90" s="342"/>
    </row>
    <row r="91" spans="2:50" ht="30" customHeight="1" x14ac:dyDescent="0.2">
      <c r="O91" s="285"/>
      <c r="P91" s="285"/>
      <c r="Q91" s="285"/>
      <c r="R91" s="285"/>
      <c r="S91" s="285"/>
      <c r="T91" s="285"/>
      <c r="U91" s="285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V91" s="342"/>
      <c r="AW91" s="342"/>
      <c r="AX91" s="342"/>
    </row>
    <row r="92" spans="2:50" ht="30" customHeight="1" x14ac:dyDescent="0.2">
      <c r="O92" s="285"/>
      <c r="P92" s="285"/>
      <c r="Q92" s="285"/>
      <c r="R92" s="285"/>
      <c r="S92" s="285"/>
      <c r="T92" s="285"/>
      <c r="U92" s="285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V92" s="342"/>
      <c r="AW92" s="342"/>
      <c r="AX92" s="342"/>
    </row>
    <row r="93" spans="2:50" ht="30" customHeight="1" x14ac:dyDescent="0.2">
      <c r="O93" s="285"/>
      <c r="P93" s="285"/>
      <c r="Q93" s="285"/>
      <c r="R93" s="285"/>
      <c r="S93" s="285"/>
      <c r="T93" s="285"/>
      <c r="U93" s="285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V93" s="342"/>
      <c r="AW93" s="342"/>
      <c r="AX93" s="342"/>
    </row>
    <row r="94" spans="2:50" ht="30" customHeight="1" x14ac:dyDescent="0.2">
      <c r="O94" s="285"/>
      <c r="P94" s="285"/>
      <c r="Q94" s="285"/>
      <c r="R94" s="285"/>
      <c r="S94" s="285"/>
      <c r="T94" s="285"/>
      <c r="U94" s="285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V94" s="342"/>
      <c r="AW94" s="342"/>
      <c r="AX94" s="342"/>
    </row>
    <row r="95" spans="2:50" ht="30" customHeight="1" thickBot="1" x14ac:dyDescent="0.25">
      <c r="O95" s="285"/>
      <c r="P95" s="285"/>
      <c r="Q95" s="285"/>
      <c r="R95" s="285"/>
      <c r="S95" s="285"/>
      <c r="T95" s="285"/>
      <c r="U95" s="285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V95" s="342"/>
      <c r="AW95" s="342"/>
      <c r="AX95" s="342"/>
    </row>
    <row r="96" spans="2:50" ht="30" customHeight="1" x14ac:dyDescent="0.2">
      <c r="B96" s="355"/>
      <c r="C96" s="678" t="s">
        <v>299</v>
      </c>
      <c r="D96" s="679"/>
      <c r="E96" s="679"/>
      <c r="F96" s="679"/>
      <c r="G96" s="679"/>
      <c r="H96" s="679"/>
      <c r="I96" s="679"/>
      <c r="J96" s="679"/>
      <c r="K96" s="679"/>
      <c r="L96" s="679"/>
      <c r="M96" s="679"/>
      <c r="N96" s="679"/>
      <c r="O96" s="679"/>
      <c r="P96" s="679"/>
      <c r="Q96" s="679"/>
      <c r="R96" s="679"/>
      <c r="S96" s="679"/>
      <c r="T96" s="680"/>
      <c r="U96" s="285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V96" s="342"/>
      <c r="AW96" s="342"/>
      <c r="AX96" s="342"/>
    </row>
    <row r="97" spans="1:50" ht="30" customHeight="1" thickBot="1" x14ac:dyDescent="0.25">
      <c r="B97" s="355"/>
      <c r="C97" s="681"/>
      <c r="D97" s="682"/>
      <c r="E97" s="682"/>
      <c r="F97" s="682"/>
      <c r="G97" s="682"/>
      <c r="H97" s="682"/>
      <c r="I97" s="682"/>
      <c r="J97" s="682"/>
      <c r="K97" s="682"/>
      <c r="L97" s="682"/>
      <c r="M97" s="682"/>
      <c r="N97" s="682"/>
      <c r="O97" s="682"/>
      <c r="P97" s="682"/>
      <c r="Q97" s="682"/>
      <c r="R97" s="682"/>
      <c r="S97" s="682"/>
      <c r="T97" s="683"/>
      <c r="U97" s="285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V97" s="342"/>
      <c r="AW97" s="342"/>
      <c r="AX97" s="342"/>
    </row>
    <row r="98" spans="1:50" ht="30" customHeight="1" thickBot="1" x14ac:dyDescent="0.25">
      <c r="B98" s="355"/>
      <c r="C98" s="684" t="s">
        <v>367</v>
      </c>
      <c r="D98" s="685"/>
      <c r="E98" s="685"/>
      <c r="F98" s="685"/>
      <c r="G98" s="685"/>
      <c r="H98" s="685"/>
      <c r="I98" s="685"/>
      <c r="J98" s="685"/>
      <c r="K98" s="685"/>
      <c r="L98" s="685"/>
      <c r="M98" s="685"/>
      <c r="N98" s="685"/>
      <c r="O98" s="685"/>
      <c r="P98" s="685"/>
      <c r="Q98" s="685"/>
      <c r="R98" s="685"/>
      <c r="S98" s="685"/>
      <c r="T98" s="686"/>
      <c r="U98" s="285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V98" s="342"/>
      <c r="AW98" s="342"/>
      <c r="AX98" s="342"/>
    </row>
    <row r="99" spans="1:50" ht="30" customHeight="1" x14ac:dyDescent="0.2">
      <c r="B99" s="355"/>
      <c r="C99" s="342"/>
      <c r="D99" s="687" t="s">
        <v>3</v>
      </c>
      <c r="E99" s="575" t="s">
        <v>300</v>
      </c>
      <c r="F99" s="575" t="s">
        <v>301</v>
      </c>
      <c r="G99" s="575" t="s">
        <v>302</v>
      </c>
      <c r="H99" s="575" t="s">
        <v>303</v>
      </c>
      <c r="I99" s="575" t="s">
        <v>304</v>
      </c>
      <c r="J99" s="575" t="s">
        <v>305</v>
      </c>
      <c r="K99" s="575" t="s">
        <v>306</v>
      </c>
      <c r="L99" s="577" t="s">
        <v>307</v>
      </c>
      <c r="O99" s="579" t="s">
        <v>384</v>
      </c>
      <c r="P99" s="580" t="s">
        <v>304</v>
      </c>
      <c r="Q99" s="581"/>
      <c r="R99" s="582"/>
      <c r="S99" s="597" t="s">
        <v>306</v>
      </c>
      <c r="T99" s="577" t="s">
        <v>307</v>
      </c>
      <c r="U99" s="285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V99" s="342"/>
      <c r="AW99" s="342"/>
      <c r="AX99" s="342"/>
    </row>
    <row r="100" spans="1:50" ht="30" customHeight="1" thickBot="1" x14ac:dyDescent="0.25">
      <c r="B100" s="355"/>
      <c r="C100" s="359"/>
      <c r="D100" s="688"/>
      <c r="E100" s="576"/>
      <c r="F100" s="576"/>
      <c r="G100" s="576"/>
      <c r="H100" s="576"/>
      <c r="I100" s="576"/>
      <c r="J100" s="576"/>
      <c r="K100" s="576"/>
      <c r="L100" s="578"/>
      <c r="O100" s="579"/>
      <c r="P100" s="580"/>
      <c r="Q100" s="581"/>
      <c r="R100" s="582"/>
      <c r="S100" s="598"/>
      <c r="T100" s="578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V100" s="342"/>
      <c r="AW100" s="342"/>
      <c r="AX100" s="342"/>
    </row>
    <row r="101" spans="1:50" ht="30" customHeight="1" thickBot="1" x14ac:dyDescent="0.25">
      <c r="A101" s="414"/>
      <c r="B101" s="423"/>
      <c r="C101" s="424"/>
      <c r="D101" s="424"/>
      <c r="E101" s="424"/>
      <c r="F101" s="424"/>
      <c r="G101" s="424"/>
      <c r="H101" s="424"/>
      <c r="I101" s="425"/>
      <c r="J101" s="425"/>
      <c r="K101" s="425"/>
      <c r="L101" s="425"/>
      <c r="O101" s="426"/>
      <c r="P101" s="426"/>
      <c r="Q101" s="426"/>
      <c r="R101" s="426"/>
      <c r="S101" s="427"/>
      <c r="T101" s="428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V101" s="342"/>
      <c r="AW101" s="342"/>
      <c r="AX101" s="342"/>
    </row>
    <row r="102" spans="1:50" ht="30" customHeight="1" x14ac:dyDescent="0.2">
      <c r="A102" s="569" t="s">
        <v>381</v>
      </c>
      <c r="B102" s="570"/>
      <c r="C102" s="583" t="s">
        <v>386</v>
      </c>
      <c r="D102" s="538" t="s">
        <v>308</v>
      </c>
      <c r="E102" s="588" t="s">
        <v>351</v>
      </c>
      <c r="F102" s="448">
        <v>18.2</v>
      </c>
      <c r="G102" s="443">
        <v>0.1</v>
      </c>
      <c r="H102" s="449">
        <v>0</v>
      </c>
      <c r="I102" s="622">
        <v>0.2</v>
      </c>
      <c r="J102" s="622">
        <v>1.96</v>
      </c>
      <c r="K102" s="548">
        <v>42580</v>
      </c>
      <c r="L102" s="541" t="s">
        <v>338</v>
      </c>
      <c r="O102" s="417"/>
      <c r="P102" s="411" t="s">
        <v>378</v>
      </c>
      <c r="Q102" s="412" t="s">
        <v>379</v>
      </c>
      <c r="R102" s="412" t="s">
        <v>380</v>
      </c>
      <c r="S102" s="689" t="s">
        <v>387</v>
      </c>
      <c r="T102" s="535" t="s">
        <v>388</v>
      </c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V102" s="342"/>
      <c r="AW102" s="342"/>
      <c r="AX102" s="342"/>
    </row>
    <row r="103" spans="1:50" ht="30" customHeight="1" x14ac:dyDescent="0.2">
      <c r="A103" s="571"/>
      <c r="B103" s="572"/>
      <c r="C103" s="584"/>
      <c r="D103" s="539"/>
      <c r="E103" s="589"/>
      <c r="F103" s="444">
        <v>20.100000000000001</v>
      </c>
      <c r="G103" s="450">
        <v>0.1</v>
      </c>
      <c r="H103" s="451">
        <v>0</v>
      </c>
      <c r="I103" s="620"/>
      <c r="J103" s="620"/>
      <c r="K103" s="549"/>
      <c r="L103" s="542"/>
      <c r="O103" s="586" t="s">
        <v>405</v>
      </c>
      <c r="P103" s="406">
        <f>I102</f>
        <v>0.2</v>
      </c>
      <c r="Q103" s="407">
        <f>I105</f>
        <v>1.7</v>
      </c>
      <c r="R103" s="407">
        <f>I108</f>
        <v>0.06</v>
      </c>
      <c r="S103" s="613"/>
      <c r="T103" s="536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V103" s="342"/>
      <c r="AW103" s="342"/>
      <c r="AX103" s="342"/>
    </row>
    <row r="104" spans="1:50" ht="30" customHeight="1" thickBot="1" x14ac:dyDescent="0.25">
      <c r="A104" s="573"/>
      <c r="B104" s="574"/>
      <c r="C104" s="584"/>
      <c r="D104" s="539"/>
      <c r="E104" s="589"/>
      <c r="F104" s="452">
        <v>22</v>
      </c>
      <c r="G104" s="450">
        <v>0.1</v>
      </c>
      <c r="H104" s="451">
        <v>0</v>
      </c>
      <c r="I104" s="623"/>
      <c r="J104" s="623"/>
      <c r="K104" s="550"/>
      <c r="L104" s="543"/>
      <c r="O104" s="587"/>
      <c r="P104" s="408"/>
      <c r="Q104" s="409"/>
      <c r="R104" s="409"/>
      <c r="S104" s="614"/>
      <c r="T104" s="537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V104" s="342"/>
      <c r="AW104" s="342"/>
      <c r="AX104" s="342"/>
    </row>
    <row r="105" spans="1:50" ht="30" customHeight="1" x14ac:dyDescent="0.2">
      <c r="A105" s="591" t="s">
        <v>382</v>
      </c>
      <c r="B105" s="592"/>
      <c r="C105" s="584"/>
      <c r="D105" s="539"/>
      <c r="E105" s="589"/>
      <c r="F105" s="453">
        <v>41.8</v>
      </c>
      <c r="G105" s="450">
        <v>0.1</v>
      </c>
      <c r="H105" s="453">
        <v>-1.8</v>
      </c>
      <c r="I105" s="619">
        <v>1.7</v>
      </c>
      <c r="J105" s="619">
        <v>1.96</v>
      </c>
      <c r="K105" s="624">
        <v>42586</v>
      </c>
      <c r="L105" s="544" t="s">
        <v>352</v>
      </c>
      <c r="O105" s="285"/>
      <c r="P105" s="285"/>
      <c r="Q105" s="285"/>
      <c r="R105" s="285"/>
      <c r="S105" s="285"/>
      <c r="T105" s="285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V105" s="342"/>
      <c r="AW105" s="342"/>
      <c r="AX105" s="342"/>
    </row>
    <row r="106" spans="1:50" ht="30" customHeight="1" x14ac:dyDescent="0.2">
      <c r="A106" s="593"/>
      <c r="B106" s="594"/>
      <c r="C106" s="584"/>
      <c r="D106" s="539"/>
      <c r="E106" s="589"/>
      <c r="F106" s="453">
        <v>50.4</v>
      </c>
      <c r="G106" s="450">
        <v>0.1</v>
      </c>
      <c r="H106" s="453">
        <v>-0.4</v>
      </c>
      <c r="I106" s="620"/>
      <c r="J106" s="620"/>
      <c r="K106" s="549"/>
      <c r="L106" s="542"/>
      <c r="O106" s="285"/>
      <c r="P106" s="285"/>
      <c r="Q106" s="285"/>
      <c r="R106" s="285"/>
      <c r="S106" s="285"/>
      <c r="T106" s="285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42"/>
      <c r="AV106" s="342"/>
      <c r="AW106" s="342"/>
      <c r="AX106" s="342"/>
    </row>
    <row r="107" spans="1:50" ht="30" customHeight="1" thickBot="1" x14ac:dyDescent="0.25">
      <c r="A107" s="595"/>
      <c r="B107" s="596"/>
      <c r="C107" s="584"/>
      <c r="D107" s="539"/>
      <c r="E107" s="589"/>
      <c r="F107" s="453">
        <v>59.3</v>
      </c>
      <c r="G107" s="450">
        <v>0.1</v>
      </c>
      <c r="H107" s="453">
        <v>0.8</v>
      </c>
      <c r="I107" s="623"/>
      <c r="J107" s="623"/>
      <c r="K107" s="550"/>
      <c r="L107" s="543"/>
      <c r="O107" s="285"/>
      <c r="P107" s="285"/>
      <c r="Q107" s="285"/>
      <c r="R107" s="285"/>
      <c r="S107" s="285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V107" s="342"/>
      <c r="AW107" s="342"/>
      <c r="AX107" s="342"/>
    </row>
    <row r="108" spans="1:50" ht="30" customHeight="1" x14ac:dyDescent="0.2">
      <c r="A108" s="593" t="s">
        <v>389</v>
      </c>
      <c r="B108" s="594"/>
      <c r="C108" s="584"/>
      <c r="D108" s="539"/>
      <c r="E108" s="589"/>
      <c r="F108" s="453">
        <v>397.9</v>
      </c>
      <c r="G108" s="444">
        <v>0.1</v>
      </c>
      <c r="H108" s="453">
        <v>-1.3</v>
      </c>
      <c r="I108" s="619">
        <v>0.06</v>
      </c>
      <c r="J108" s="619">
        <v>2</v>
      </c>
      <c r="K108" s="624">
        <v>42625</v>
      </c>
      <c r="L108" s="545" t="s">
        <v>353</v>
      </c>
      <c r="O108" s="285"/>
      <c r="P108" s="285"/>
      <c r="Q108" s="285"/>
      <c r="R108" s="285"/>
      <c r="S108" s="285"/>
      <c r="Z108" s="342"/>
      <c r="AA108" s="342"/>
      <c r="AB108" s="342"/>
      <c r="AC108" s="342"/>
      <c r="AD108" s="342"/>
      <c r="AE108" s="342"/>
      <c r="AF108" s="342"/>
      <c r="AG108" s="342"/>
      <c r="AH108" s="342"/>
      <c r="AI108" s="342"/>
      <c r="AJ108" s="342"/>
      <c r="AK108" s="342"/>
      <c r="AV108" s="342"/>
      <c r="AW108" s="342"/>
      <c r="AX108" s="342"/>
    </row>
    <row r="109" spans="1:50" ht="30" customHeight="1" x14ac:dyDescent="0.2">
      <c r="A109" s="593"/>
      <c r="B109" s="594"/>
      <c r="C109" s="584"/>
      <c r="D109" s="539"/>
      <c r="E109" s="589"/>
      <c r="F109" s="444">
        <v>753.1</v>
      </c>
      <c r="G109" s="444">
        <v>0.1</v>
      </c>
      <c r="H109" s="444">
        <v>-0.74</v>
      </c>
      <c r="I109" s="620"/>
      <c r="J109" s="620"/>
      <c r="K109" s="549"/>
      <c r="L109" s="546"/>
      <c r="O109" s="285"/>
      <c r="P109" s="285"/>
      <c r="Q109" s="285"/>
      <c r="R109" s="285"/>
      <c r="S109" s="285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V109" s="342"/>
      <c r="AW109" s="342"/>
      <c r="AX109" s="342"/>
    </row>
    <row r="110" spans="1:50" ht="30" customHeight="1" thickBot="1" x14ac:dyDescent="0.25">
      <c r="A110" s="595"/>
      <c r="B110" s="596"/>
      <c r="C110" s="585"/>
      <c r="D110" s="540"/>
      <c r="E110" s="590"/>
      <c r="F110" s="454">
        <v>899</v>
      </c>
      <c r="G110" s="447">
        <v>0.1</v>
      </c>
      <c r="H110" s="447">
        <v>-0.09</v>
      </c>
      <c r="I110" s="621"/>
      <c r="J110" s="621"/>
      <c r="K110" s="625"/>
      <c r="L110" s="547"/>
      <c r="O110" s="285"/>
      <c r="P110" s="285"/>
      <c r="Q110" s="285"/>
      <c r="R110" s="285"/>
      <c r="S110" s="285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V110" s="342"/>
      <c r="AW110" s="342"/>
      <c r="AX110" s="342"/>
    </row>
    <row r="111" spans="1:50" ht="30" customHeight="1" thickBot="1" x14ac:dyDescent="0.25">
      <c r="A111" s="429"/>
      <c r="B111" s="429"/>
      <c r="C111" s="430"/>
      <c r="D111" s="431"/>
      <c r="E111" s="432"/>
      <c r="F111" s="433"/>
      <c r="G111" s="430"/>
      <c r="H111" s="430"/>
      <c r="I111" s="430"/>
      <c r="J111" s="430"/>
      <c r="K111" s="434"/>
      <c r="L111" s="430"/>
      <c r="O111" s="285"/>
      <c r="P111" s="285"/>
      <c r="Q111" s="285"/>
      <c r="R111" s="285"/>
      <c r="S111" s="285"/>
      <c r="U111" s="285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2"/>
      <c r="AM111" s="342"/>
      <c r="AN111" s="342"/>
      <c r="AO111" s="342"/>
      <c r="AP111" s="342"/>
      <c r="AQ111" s="342"/>
      <c r="AR111" s="342"/>
      <c r="AS111" s="342"/>
      <c r="AT111" s="342"/>
      <c r="AU111" s="342"/>
      <c r="AV111" s="342"/>
      <c r="AW111" s="342"/>
      <c r="AX111" s="342"/>
    </row>
    <row r="112" spans="1:50" ht="30" customHeight="1" thickBot="1" x14ac:dyDescent="0.25">
      <c r="A112" s="286"/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O112" s="285"/>
      <c r="P112" s="285"/>
      <c r="Q112" s="285"/>
      <c r="R112" s="285"/>
      <c r="S112" s="285"/>
      <c r="U112" s="285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342"/>
      <c r="AM112" s="342"/>
      <c r="AN112" s="342"/>
      <c r="AO112" s="342"/>
      <c r="AP112" s="342"/>
      <c r="AQ112" s="342"/>
      <c r="AR112" s="342"/>
      <c r="AS112" s="342"/>
      <c r="AT112" s="342"/>
      <c r="AU112" s="342"/>
      <c r="AV112" s="342"/>
      <c r="AW112" s="342"/>
      <c r="AX112" s="342"/>
    </row>
    <row r="113" spans="1:50" ht="30" customHeight="1" x14ac:dyDescent="0.2">
      <c r="A113" s="599" t="s">
        <v>381</v>
      </c>
      <c r="B113" s="600"/>
      <c r="C113" s="583" t="s">
        <v>390</v>
      </c>
      <c r="D113" s="605" t="s">
        <v>308</v>
      </c>
      <c r="E113" s="588">
        <v>19506160802033</v>
      </c>
      <c r="F113" s="449">
        <v>20</v>
      </c>
      <c r="G113" s="443">
        <v>0.1</v>
      </c>
      <c r="H113" s="443">
        <v>-0.1</v>
      </c>
      <c r="I113" s="606">
        <v>1.5</v>
      </c>
      <c r="J113" s="606">
        <v>2</v>
      </c>
      <c r="K113" s="608">
        <v>42675</v>
      </c>
      <c r="L113" s="609" t="s">
        <v>348</v>
      </c>
      <c r="O113" s="393"/>
      <c r="P113" s="410" t="s">
        <v>378</v>
      </c>
      <c r="Q113" s="418" t="s">
        <v>379</v>
      </c>
      <c r="R113" s="418" t="s">
        <v>380</v>
      </c>
      <c r="S113" s="612" t="s">
        <v>383</v>
      </c>
      <c r="T113" s="615" t="s">
        <v>376</v>
      </c>
      <c r="U113" s="285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  <c r="AO113" s="342"/>
      <c r="AP113" s="342"/>
      <c r="AQ113" s="342"/>
      <c r="AR113" s="342"/>
      <c r="AS113" s="342"/>
      <c r="AT113" s="342"/>
      <c r="AU113" s="342"/>
      <c r="AV113" s="342"/>
      <c r="AW113" s="342"/>
      <c r="AX113" s="342"/>
    </row>
    <row r="114" spans="1:50" ht="30" customHeight="1" x14ac:dyDescent="0.2">
      <c r="A114" s="601"/>
      <c r="B114" s="602"/>
      <c r="C114" s="584"/>
      <c r="D114" s="589"/>
      <c r="E114" s="589"/>
      <c r="F114" s="444">
        <v>28.1</v>
      </c>
      <c r="G114" s="444">
        <v>0.1</v>
      </c>
      <c r="H114" s="444">
        <v>0.1</v>
      </c>
      <c r="I114" s="589"/>
      <c r="J114" s="589"/>
      <c r="K114" s="589"/>
      <c r="L114" s="610"/>
      <c r="O114" s="586" t="s">
        <v>377</v>
      </c>
      <c r="P114" s="406">
        <f>I113</f>
        <v>1.5</v>
      </c>
      <c r="Q114" s="435">
        <f>I116</f>
        <v>1.6</v>
      </c>
      <c r="R114" s="436">
        <f>I119</f>
        <v>0.21</v>
      </c>
      <c r="S114" s="613"/>
      <c r="T114" s="536"/>
      <c r="U114" s="285"/>
      <c r="Z114" s="342"/>
      <c r="AA114" s="342"/>
      <c r="AB114" s="342"/>
      <c r="AC114" s="342"/>
      <c r="AD114" s="342"/>
      <c r="AE114" s="342"/>
      <c r="AF114" s="342"/>
      <c r="AG114" s="342"/>
      <c r="AH114" s="342"/>
      <c r="AI114" s="342"/>
      <c r="AJ114" s="342"/>
      <c r="AK114" s="342"/>
      <c r="AL114" s="342"/>
      <c r="AM114" s="342"/>
      <c r="AN114" s="342"/>
      <c r="AO114" s="342"/>
      <c r="AP114" s="342"/>
      <c r="AQ114" s="342"/>
      <c r="AR114" s="342"/>
      <c r="AS114" s="342"/>
      <c r="AT114" s="342"/>
      <c r="AU114" s="342"/>
      <c r="AV114" s="342"/>
      <c r="AW114" s="342"/>
      <c r="AX114" s="342"/>
    </row>
    <row r="115" spans="1:50" ht="30" customHeight="1" thickBot="1" x14ac:dyDescent="0.25">
      <c r="A115" s="603"/>
      <c r="B115" s="604"/>
      <c r="C115" s="584"/>
      <c r="D115" s="589"/>
      <c r="E115" s="589"/>
      <c r="F115" s="444">
        <v>32.1</v>
      </c>
      <c r="G115" s="444">
        <v>0.1</v>
      </c>
      <c r="H115" s="444">
        <v>0.1</v>
      </c>
      <c r="I115" s="607"/>
      <c r="J115" s="607"/>
      <c r="K115" s="607"/>
      <c r="L115" s="611"/>
      <c r="O115" s="587"/>
      <c r="P115" s="408"/>
      <c r="Q115" s="409"/>
      <c r="R115" s="409"/>
      <c r="S115" s="614"/>
      <c r="T115" s="537"/>
      <c r="U115" s="285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  <c r="AO115" s="342"/>
      <c r="AP115" s="342"/>
      <c r="AQ115" s="342"/>
      <c r="AR115" s="342"/>
      <c r="AS115" s="342"/>
      <c r="AT115" s="342"/>
      <c r="AU115" s="342"/>
      <c r="AV115" s="342"/>
      <c r="AW115" s="342"/>
      <c r="AX115" s="342"/>
    </row>
    <row r="116" spans="1:50" ht="30" customHeight="1" x14ac:dyDescent="0.2">
      <c r="A116" s="591" t="s">
        <v>382</v>
      </c>
      <c r="B116" s="592"/>
      <c r="C116" s="584"/>
      <c r="D116" s="589"/>
      <c r="E116" s="589"/>
      <c r="F116" s="444">
        <v>50.1</v>
      </c>
      <c r="G116" s="455">
        <v>0.1</v>
      </c>
      <c r="H116" s="455">
        <v>0.9</v>
      </c>
      <c r="I116" s="674">
        <v>1.6</v>
      </c>
      <c r="J116" s="616">
        <v>2</v>
      </c>
      <c r="K116" s="617">
        <v>42676</v>
      </c>
      <c r="L116" s="618" t="s">
        <v>349</v>
      </c>
      <c r="O116" s="285"/>
      <c r="P116" s="285"/>
      <c r="Q116" s="285"/>
      <c r="R116" s="285"/>
      <c r="U116" s="285"/>
      <c r="Z116" s="342"/>
      <c r="AA116" s="342"/>
      <c r="AB116" s="342"/>
      <c r="AC116" s="342"/>
      <c r="AD116" s="342"/>
      <c r="AE116" s="342"/>
      <c r="AF116" s="342"/>
      <c r="AG116" s="342"/>
      <c r="AH116" s="342"/>
      <c r="AI116" s="342"/>
      <c r="AJ116" s="342"/>
      <c r="AK116" s="342"/>
      <c r="AL116" s="342"/>
      <c r="AM116" s="342"/>
      <c r="AN116" s="342"/>
      <c r="AO116" s="342"/>
      <c r="AP116" s="342"/>
      <c r="AQ116" s="342"/>
      <c r="AR116" s="342"/>
      <c r="AS116" s="342"/>
      <c r="AT116" s="342"/>
      <c r="AU116" s="342"/>
      <c r="AV116" s="342"/>
      <c r="AW116" s="342"/>
      <c r="AX116" s="342"/>
    </row>
    <row r="117" spans="1:50" ht="30" customHeight="1" x14ac:dyDescent="0.2">
      <c r="A117" s="593"/>
      <c r="B117" s="594"/>
      <c r="C117" s="584"/>
      <c r="D117" s="589"/>
      <c r="E117" s="589"/>
      <c r="F117" s="444">
        <v>59.9</v>
      </c>
      <c r="G117" s="455">
        <v>0.1</v>
      </c>
      <c r="H117" s="455">
        <v>0.5</v>
      </c>
      <c r="I117" s="589"/>
      <c r="J117" s="589"/>
      <c r="K117" s="589"/>
      <c r="L117" s="610"/>
      <c r="O117" s="285"/>
      <c r="P117" s="285"/>
      <c r="Q117" s="285"/>
      <c r="R117" s="285"/>
      <c r="U117" s="285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  <c r="AO117" s="342"/>
      <c r="AP117" s="342"/>
      <c r="AQ117" s="342"/>
      <c r="AR117" s="342"/>
      <c r="AS117" s="342"/>
      <c r="AT117" s="342"/>
      <c r="AU117" s="342"/>
      <c r="AV117" s="342"/>
      <c r="AW117" s="342"/>
      <c r="AX117" s="342"/>
    </row>
    <row r="118" spans="1:50" ht="30" customHeight="1" thickBot="1" x14ac:dyDescent="0.25">
      <c r="A118" s="595"/>
      <c r="B118" s="596"/>
      <c r="C118" s="584"/>
      <c r="D118" s="589"/>
      <c r="E118" s="589"/>
      <c r="F118" s="444">
        <v>69.099999999999994</v>
      </c>
      <c r="G118" s="455">
        <v>0.1</v>
      </c>
      <c r="H118" s="455">
        <v>0.1</v>
      </c>
      <c r="I118" s="607"/>
      <c r="J118" s="607"/>
      <c r="K118" s="607"/>
      <c r="L118" s="611"/>
      <c r="O118" s="285"/>
      <c r="P118" s="285"/>
      <c r="Q118" s="285"/>
      <c r="R118" s="285"/>
      <c r="U118" s="285"/>
      <c r="V118" s="285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342"/>
      <c r="AH118" s="342"/>
      <c r="AI118" s="342"/>
      <c r="AJ118" s="342"/>
      <c r="AK118" s="342"/>
      <c r="AL118" s="342"/>
      <c r="AM118" s="342"/>
      <c r="AN118" s="342"/>
      <c r="AO118" s="342"/>
      <c r="AP118" s="342"/>
      <c r="AQ118" s="342"/>
      <c r="AR118" s="342"/>
      <c r="AS118" s="342"/>
      <c r="AT118" s="342"/>
      <c r="AU118" s="342"/>
      <c r="AV118" s="342"/>
      <c r="AW118" s="342"/>
      <c r="AX118" s="342"/>
    </row>
    <row r="119" spans="1:50" ht="30" customHeight="1" x14ac:dyDescent="0.2">
      <c r="A119" s="591" t="s">
        <v>389</v>
      </c>
      <c r="B119" s="592"/>
      <c r="C119" s="584"/>
      <c r="D119" s="589"/>
      <c r="E119" s="589"/>
      <c r="F119" s="445">
        <v>499</v>
      </c>
      <c r="G119" s="455">
        <v>0.1</v>
      </c>
      <c r="H119" s="455">
        <v>-1</v>
      </c>
      <c r="I119" s="675">
        <v>0.21</v>
      </c>
      <c r="J119" s="616">
        <v>1.6</v>
      </c>
      <c r="K119" s="617">
        <v>42671</v>
      </c>
      <c r="L119" s="618" t="s">
        <v>350</v>
      </c>
      <c r="O119" s="285"/>
      <c r="P119" s="285"/>
      <c r="Q119" s="285"/>
      <c r="R119" s="285"/>
      <c r="T119" s="368"/>
      <c r="U119" s="285"/>
      <c r="V119" s="285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  <c r="AP119" s="342"/>
      <c r="AQ119" s="342"/>
      <c r="AR119" s="342"/>
      <c r="AS119" s="342"/>
      <c r="AT119" s="342"/>
      <c r="AU119" s="342"/>
      <c r="AV119" s="342"/>
      <c r="AW119" s="342"/>
      <c r="AX119" s="342"/>
    </row>
    <row r="120" spans="1:50" ht="30" customHeight="1" x14ac:dyDescent="0.2">
      <c r="A120" s="593"/>
      <c r="B120" s="594"/>
      <c r="C120" s="584"/>
      <c r="D120" s="589"/>
      <c r="E120" s="589"/>
      <c r="F120" s="444">
        <v>799.8</v>
      </c>
      <c r="G120" s="455">
        <v>0.1</v>
      </c>
      <c r="H120" s="455">
        <v>-0.4</v>
      </c>
      <c r="I120" s="589"/>
      <c r="J120" s="589"/>
      <c r="K120" s="589"/>
      <c r="L120" s="610"/>
      <c r="O120" s="285"/>
      <c r="P120" s="285"/>
      <c r="Q120" s="285"/>
      <c r="R120" s="285"/>
      <c r="T120" s="340"/>
      <c r="U120" s="285"/>
      <c r="V120" s="285"/>
    </row>
    <row r="121" spans="1:50" ht="30" customHeight="1" thickBot="1" x14ac:dyDescent="0.25">
      <c r="A121" s="595"/>
      <c r="B121" s="596"/>
      <c r="C121" s="585"/>
      <c r="D121" s="590"/>
      <c r="E121" s="590"/>
      <c r="F121" s="447">
        <v>1099.8</v>
      </c>
      <c r="G121" s="456">
        <v>0.1</v>
      </c>
      <c r="H121" s="456">
        <v>-0.4</v>
      </c>
      <c r="I121" s="590"/>
      <c r="J121" s="590"/>
      <c r="K121" s="590"/>
      <c r="L121" s="676"/>
      <c r="O121" s="285"/>
      <c r="P121" s="285"/>
      <c r="Q121" s="285"/>
      <c r="R121" s="285"/>
      <c r="T121" s="340"/>
      <c r="U121" s="285"/>
      <c r="V121" s="285"/>
    </row>
    <row r="122" spans="1:50" ht="30" customHeight="1" thickBot="1" x14ac:dyDescent="0.25">
      <c r="A122" s="416"/>
      <c r="B122" s="413"/>
      <c r="C122" s="437"/>
      <c r="D122" s="438"/>
      <c r="E122" s="392"/>
      <c r="F122" s="437"/>
      <c r="G122" s="437"/>
      <c r="H122" s="437"/>
      <c r="I122" s="437"/>
      <c r="J122" s="437"/>
      <c r="K122" s="439"/>
      <c r="L122" s="440"/>
      <c r="O122" s="285"/>
      <c r="P122" s="285"/>
      <c r="Q122" s="285"/>
      <c r="R122" s="285"/>
      <c r="T122" s="340"/>
      <c r="U122" s="285"/>
      <c r="V122" s="285"/>
    </row>
    <row r="123" spans="1:50" ht="30" customHeight="1" thickBot="1" x14ac:dyDescent="0.25">
      <c r="A123" s="441"/>
      <c r="B123" s="426"/>
      <c r="C123" s="425"/>
      <c r="D123" s="425"/>
      <c r="E123" s="425"/>
      <c r="F123" s="425"/>
      <c r="G123" s="425"/>
      <c r="H123" s="425"/>
      <c r="I123" s="425"/>
      <c r="J123" s="425"/>
      <c r="K123" s="425"/>
      <c r="L123" s="425"/>
      <c r="O123" s="285"/>
      <c r="P123" s="285"/>
      <c r="Q123" s="285"/>
      <c r="R123" s="285"/>
      <c r="T123" s="340"/>
      <c r="U123" s="285"/>
      <c r="V123" s="285"/>
    </row>
    <row r="124" spans="1:50" ht="30" customHeight="1" x14ac:dyDescent="0.2">
      <c r="A124" s="569" t="s">
        <v>381</v>
      </c>
      <c r="B124" s="634"/>
      <c r="C124" s="583" t="s">
        <v>391</v>
      </c>
      <c r="D124" s="639" t="s">
        <v>308</v>
      </c>
      <c r="E124" s="588">
        <v>19406160802033</v>
      </c>
      <c r="F124" s="449">
        <v>16</v>
      </c>
      <c r="G124" s="443">
        <v>0.1</v>
      </c>
      <c r="H124" s="443">
        <v>-0.1</v>
      </c>
      <c r="I124" s="642">
        <v>1.5</v>
      </c>
      <c r="J124" s="642">
        <v>2</v>
      </c>
      <c r="K124" s="631">
        <v>42674</v>
      </c>
      <c r="L124" s="652" t="s">
        <v>346</v>
      </c>
      <c r="O124" s="393"/>
      <c r="P124" s="410" t="s">
        <v>378</v>
      </c>
      <c r="Q124" s="418" t="s">
        <v>379</v>
      </c>
      <c r="R124" s="418" t="s">
        <v>380</v>
      </c>
      <c r="S124" s="612" t="s">
        <v>392</v>
      </c>
      <c r="T124" s="615" t="s">
        <v>393</v>
      </c>
      <c r="U124" s="285"/>
      <c r="V124" s="285"/>
    </row>
    <row r="125" spans="1:50" ht="30" customHeight="1" x14ac:dyDescent="0.2">
      <c r="A125" s="635"/>
      <c r="B125" s="636"/>
      <c r="C125" s="584"/>
      <c r="D125" s="640"/>
      <c r="E125" s="589"/>
      <c r="F125" s="444">
        <v>20.100000000000001</v>
      </c>
      <c r="G125" s="444">
        <v>0.1</v>
      </c>
      <c r="H125" s="444">
        <v>-0.1</v>
      </c>
      <c r="I125" s="630"/>
      <c r="J125" s="630"/>
      <c r="K125" s="630"/>
      <c r="L125" s="633" t="s">
        <v>345</v>
      </c>
      <c r="O125" s="586" t="s">
        <v>406</v>
      </c>
      <c r="P125" s="406">
        <f>I124</f>
        <v>1.5</v>
      </c>
      <c r="Q125" s="407">
        <f>I127</f>
        <v>1.6</v>
      </c>
      <c r="R125" s="407">
        <f>I130</f>
        <v>0.21</v>
      </c>
      <c r="S125" s="613"/>
      <c r="T125" s="536"/>
      <c r="U125" s="285"/>
      <c r="V125" s="285"/>
    </row>
    <row r="126" spans="1:50" ht="30" customHeight="1" thickBot="1" x14ac:dyDescent="0.25">
      <c r="A126" s="637"/>
      <c r="B126" s="638"/>
      <c r="C126" s="584"/>
      <c r="D126" s="640"/>
      <c r="E126" s="589"/>
      <c r="F126" s="444">
        <v>24.4</v>
      </c>
      <c r="G126" s="450">
        <v>0.1</v>
      </c>
      <c r="H126" s="444">
        <v>0.1</v>
      </c>
      <c r="I126" s="630"/>
      <c r="J126" s="630"/>
      <c r="K126" s="630"/>
      <c r="L126" s="633"/>
      <c r="O126" s="587"/>
      <c r="P126" s="408"/>
      <c r="Q126" s="409"/>
      <c r="R126" s="409"/>
      <c r="S126" s="614"/>
      <c r="T126" s="537"/>
      <c r="U126" s="285"/>
      <c r="V126" s="285"/>
    </row>
    <row r="127" spans="1:50" ht="30" customHeight="1" x14ac:dyDescent="0.2">
      <c r="A127" s="591" t="s">
        <v>382</v>
      </c>
      <c r="B127" s="626"/>
      <c r="C127" s="584"/>
      <c r="D127" s="640"/>
      <c r="E127" s="589"/>
      <c r="F127" s="444">
        <v>39.5</v>
      </c>
      <c r="G127" s="444">
        <v>0.1</v>
      </c>
      <c r="H127" s="444">
        <v>0.79</v>
      </c>
      <c r="I127" s="629">
        <v>1.6</v>
      </c>
      <c r="J127" s="629">
        <v>2</v>
      </c>
      <c r="K127" s="631">
        <v>42674</v>
      </c>
      <c r="L127" s="632" t="s">
        <v>345</v>
      </c>
      <c r="O127" s="285"/>
      <c r="P127" s="285"/>
      <c r="Q127" s="285"/>
      <c r="R127" s="285"/>
      <c r="T127" s="340"/>
      <c r="U127" s="285"/>
      <c r="V127" s="285"/>
    </row>
    <row r="128" spans="1:50" ht="30" customHeight="1" x14ac:dyDescent="0.2">
      <c r="A128" s="593"/>
      <c r="B128" s="627"/>
      <c r="C128" s="584"/>
      <c r="D128" s="640"/>
      <c r="E128" s="589"/>
      <c r="F128" s="444">
        <v>49.8</v>
      </c>
      <c r="G128" s="444">
        <v>0.1</v>
      </c>
      <c r="H128" s="444">
        <v>0.63</v>
      </c>
      <c r="I128" s="630">
        <v>1.6</v>
      </c>
      <c r="J128" s="630">
        <v>2</v>
      </c>
      <c r="K128" s="630"/>
      <c r="L128" s="633" t="s">
        <v>346</v>
      </c>
      <c r="O128" s="285"/>
      <c r="P128" s="285"/>
      <c r="Q128" s="285"/>
      <c r="R128" s="285"/>
      <c r="T128" s="340"/>
      <c r="U128" s="285"/>
      <c r="V128" s="285"/>
    </row>
    <row r="129" spans="1:22" ht="30" customHeight="1" thickBot="1" x14ac:dyDescent="0.25">
      <c r="A129" s="595"/>
      <c r="B129" s="628"/>
      <c r="C129" s="584"/>
      <c r="D129" s="640"/>
      <c r="E129" s="589"/>
      <c r="F129" s="444">
        <v>59.3</v>
      </c>
      <c r="G129" s="444">
        <v>0.1</v>
      </c>
      <c r="H129" s="444">
        <v>-0.13</v>
      </c>
      <c r="I129" s="630"/>
      <c r="J129" s="630"/>
      <c r="K129" s="630"/>
      <c r="L129" s="633"/>
      <c r="O129" s="285"/>
      <c r="P129" s="285"/>
      <c r="Q129" s="285"/>
      <c r="R129" s="285"/>
      <c r="T129" s="340"/>
      <c r="U129" s="285"/>
      <c r="V129" s="285"/>
    </row>
    <row r="130" spans="1:22" ht="30" customHeight="1" x14ac:dyDescent="0.2">
      <c r="A130" s="591" t="s">
        <v>389</v>
      </c>
      <c r="B130" s="626"/>
      <c r="C130" s="584"/>
      <c r="D130" s="640"/>
      <c r="E130" s="589"/>
      <c r="F130" s="445">
        <v>499</v>
      </c>
      <c r="G130" s="444">
        <v>0.1</v>
      </c>
      <c r="H130" s="445">
        <v>-1</v>
      </c>
      <c r="I130" s="629">
        <v>0.21</v>
      </c>
      <c r="J130" s="629">
        <v>2</v>
      </c>
      <c r="K130" s="644">
        <v>42671</v>
      </c>
      <c r="L130" s="632" t="s">
        <v>347</v>
      </c>
      <c r="O130" s="285"/>
      <c r="P130" s="285"/>
      <c r="Q130" s="285"/>
      <c r="R130" s="285"/>
      <c r="T130" s="340"/>
      <c r="U130" s="285"/>
      <c r="V130" s="285"/>
    </row>
    <row r="131" spans="1:22" ht="30" customHeight="1" x14ac:dyDescent="0.2">
      <c r="A131" s="593"/>
      <c r="B131" s="627"/>
      <c r="C131" s="584"/>
      <c r="D131" s="640"/>
      <c r="E131" s="589"/>
      <c r="F131" s="444">
        <v>799.8</v>
      </c>
      <c r="G131" s="444">
        <v>0.1</v>
      </c>
      <c r="H131" s="445">
        <v>-0.4</v>
      </c>
      <c r="I131" s="630">
        <v>0.17</v>
      </c>
      <c r="J131" s="630">
        <v>2</v>
      </c>
      <c r="K131" s="630">
        <v>42671</v>
      </c>
      <c r="L131" s="633" t="s">
        <v>347</v>
      </c>
      <c r="O131" s="285"/>
      <c r="P131" s="285"/>
      <c r="Q131" s="285"/>
      <c r="R131" s="285"/>
      <c r="T131" s="340"/>
      <c r="U131" s="285"/>
      <c r="V131" s="285"/>
    </row>
    <row r="132" spans="1:22" ht="30" customHeight="1" thickBot="1" x14ac:dyDescent="0.25">
      <c r="A132" s="595"/>
      <c r="B132" s="628"/>
      <c r="C132" s="585"/>
      <c r="D132" s="641"/>
      <c r="E132" s="590"/>
      <c r="F132" s="447">
        <v>1099.9000000000001</v>
      </c>
      <c r="G132" s="447">
        <v>0.1</v>
      </c>
      <c r="H132" s="454">
        <v>-0.3</v>
      </c>
      <c r="I132" s="643"/>
      <c r="J132" s="643"/>
      <c r="K132" s="643"/>
      <c r="L132" s="647"/>
      <c r="O132" s="285"/>
      <c r="P132" s="285"/>
      <c r="Q132" s="285"/>
      <c r="R132" s="285"/>
      <c r="T132" s="340"/>
      <c r="U132" s="285"/>
      <c r="V132" s="285"/>
    </row>
    <row r="133" spans="1:22" ht="30" customHeight="1" thickBot="1" x14ac:dyDescent="0.25">
      <c r="A133" s="414"/>
      <c r="B133" s="425"/>
      <c r="C133" s="286"/>
      <c r="D133" s="286"/>
      <c r="E133" s="286"/>
      <c r="F133" s="286"/>
      <c r="G133" s="286"/>
      <c r="H133" s="286"/>
      <c r="I133" s="286"/>
      <c r="J133" s="286"/>
      <c r="K133" s="286"/>
      <c r="L133" s="286"/>
      <c r="O133" s="285"/>
      <c r="P133" s="285"/>
      <c r="Q133" s="285"/>
      <c r="R133" s="285"/>
      <c r="T133" s="340"/>
      <c r="U133" s="285"/>
      <c r="V133" s="285"/>
    </row>
    <row r="134" spans="1:22" ht="30" customHeight="1" x14ac:dyDescent="0.2">
      <c r="A134" s="648" t="s">
        <v>381</v>
      </c>
      <c r="B134" s="639"/>
      <c r="C134" s="606" t="s">
        <v>394</v>
      </c>
      <c r="D134" s="639" t="s">
        <v>308</v>
      </c>
      <c r="E134" s="588" t="s">
        <v>341</v>
      </c>
      <c r="F134" s="443">
        <v>18.100000000000001</v>
      </c>
      <c r="G134" s="444">
        <v>0.1</v>
      </c>
      <c r="H134" s="449">
        <v>0</v>
      </c>
      <c r="I134" s="650">
        <v>0.2</v>
      </c>
      <c r="J134" s="642">
        <v>1.96</v>
      </c>
      <c r="K134" s="631">
        <v>42580</v>
      </c>
      <c r="L134" s="652" t="s">
        <v>395</v>
      </c>
      <c r="O134" s="393"/>
      <c r="P134" s="410" t="s">
        <v>378</v>
      </c>
      <c r="Q134" s="418" t="s">
        <v>379</v>
      </c>
      <c r="R134" s="418" t="s">
        <v>380</v>
      </c>
      <c r="S134" s="612" t="s">
        <v>387</v>
      </c>
      <c r="T134" s="615" t="s">
        <v>396</v>
      </c>
      <c r="U134" s="285"/>
      <c r="V134" s="285"/>
    </row>
    <row r="135" spans="1:22" ht="30" customHeight="1" x14ac:dyDescent="0.2">
      <c r="A135" s="649"/>
      <c r="B135" s="640"/>
      <c r="C135" s="589"/>
      <c r="D135" s="640"/>
      <c r="E135" s="589"/>
      <c r="F135" s="444">
        <v>20.100000000000001</v>
      </c>
      <c r="G135" s="444">
        <v>0.1</v>
      </c>
      <c r="H135" s="445">
        <v>0</v>
      </c>
      <c r="I135" s="651"/>
      <c r="J135" s="630"/>
      <c r="K135" s="630"/>
      <c r="L135" s="633"/>
      <c r="O135" s="586" t="s">
        <v>373</v>
      </c>
      <c r="P135" s="442">
        <f>I134</f>
        <v>0.2</v>
      </c>
      <c r="Q135" s="407">
        <f>I137</f>
        <v>1.7</v>
      </c>
      <c r="R135" s="407">
        <f>I140</f>
        <v>6.4000000000000001E-2</v>
      </c>
      <c r="S135" s="613"/>
      <c r="T135" s="536"/>
      <c r="U135" s="285"/>
      <c r="V135" s="285"/>
    </row>
    <row r="136" spans="1:22" ht="30" customHeight="1" thickBot="1" x14ac:dyDescent="0.25">
      <c r="A136" s="649"/>
      <c r="B136" s="640"/>
      <c r="C136" s="589"/>
      <c r="D136" s="640"/>
      <c r="E136" s="589"/>
      <c r="F136" s="445">
        <v>22</v>
      </c>
      <c r="G136" s="444">
        <v>0.1</v>
      </c>
      <c r="H136" s="445">
        <v>0</v>
      </c>
      <c r="I136" s="651">
        <v>0.2</v>
      </c>
      <c r="J136" s="630">
        <v>1.96</v>
      </c>
      <c r="K136" s="630">
        <v>42580</v>
      </c>
      <c r="L136" s="633" t="s">
        <v>342</v>
      </c>
      <c r="O136" s="587"/>
      <c r="P136" s="408"/>
      <c r="Q136" s="409"/>
      <c r="R136" s="409"/>
      <c r="S136" s="614"/>
      <c r="T136" s="537"/>
      <c r="U136" s="285"/>
      <c r="V136" s="285"/>
    </row>
    <row r="137" spans="1:22" ht="30" customHeight="1" x14ac:dyDescent="0.2">
      <c r="A137" s="645" t="s">
        <v>382</v>
      </c>
      <c r="B137" s="646"/>
      <c r="C137" s="589"/>
      <c r="D137" s="640"/>
      <c r="E137" s="589"/>
      <c r="F137" s="444">
        <v>41.8</v>
      </c>
      <c r="G137" s="444">
        <v>0.1</v>
      </c>
      <c r="H137" s="444">
        <v>-1.8</v>
      </c>
      <c r="I137" s="629">
        <v>1.7</v>
      </c>
      <c r="J137" s="629">
        <v>1.96</v>
      </c>
      <c r="K137" s="644">
        <v>42586</v>
      </c>
      <c r="L137" s="632" t="s">
        <v>397</v>
      </c>
      <c r="O137" s="285"/>
      <c r="P137" s="285"/>
      <c r="Q137" s="285"/>
      <c r="R137" s="285"/>
      <c r="T137" s="340"/>
      <c r="U137" s="285"/>
      <c r="V137" s="285"/>
    </row>
    <row r="138" spans="1:22" ht="30" customHeight="1" x14ac:dyDescent="0.2">
      <c r="A138" s="645"/>
      <c r="B138" s="646"/>
      <c r="C138" s="589"/>
      <c r="D138" s="640"/>
      <c r="E138" s="589"/>
      <c r="F138" s="444">
        <v>50.6</v>
      </c>
      <c r="G138" s="444">
        <v>0.1</v>
      </c>
      <c r="H138" s="444">
        <v>-0.6</v>
      </c>
      <c r="I138" s="630">
        <v>1.7</v>
      </c>
      <c r="J138" s="630">
        <v>1.96</v>
      </c>
      <c r="K138" s="630">
        <v>42586</v>
      </c>
      <c r="L138" s="633" t="s">
        <v>343</v>
      </c>
      <c r="O138" s="285"/>
      <c r="P138" s="285"/>
      <c r="Q138" s="285"/>
      <c r="R138" s="285"/>
      <c r="T138" s="340"/>
      <c r="U138" s="285"/>
      <c r="V138" s="285"/>
    </row>
    <row r="139" spans="1:22" ht="30" customHeight="1" x14ac:dyDescent="0.2">
      <c r="A139" s="645"/>
      <c r="B139" s="646"/>
      <c r="C139" s="589"/>
      <c r="D139" s="640"/>
      <c r="E139" s="589"/>
      <c r="F139" s="444">
        <v>59.4</v>
      </c>
      <c r="G139" s="444">
        <v>0.1</v>
      </c>
      <c r="H139" s="444">
        <v>0.6</v>
      </c>
      <c r="I139" s="630"/>
      <c r="J139" s="630"/>
      <c r="K139" s="630"/>
      <c r="L139" s="633"/>
      <c r="O139" s="285"/>
      <c r="P139" s="285"/>
      <c r="Q139" s="285"/>
      <c r="R139" s="285"/>
      <c r="T139" s="340"/>
      <c r="U139" s="285"/>
      <c r="V139" s="285"/>
    </row>
    <row r="140" spans="1:22" ht="30" customHeight="1" x14ac:dyDescent="0.2">
      <c r="A140" s="645" t="s">
        <v>389</v>
      </c>
      <c r="B140" s="646"/>
      <c r="C140" s="589"/>
      <c r="D140" s="640"/>
      <c r="E140" s="589"/>
      <c r="F140" s="444">
        <v>397.9</v>
      </c>
      <c r="G140" s="444">
        <v>0.1</v>
      </c>
      <c r="H140" s="444">
        <v>-1.3</v>
      </c>
      <c r="I140" s="629">
        <v>6.4000000000000001E-2</v>
      </c>
      <c r="J140" s="655">
        <v>2</v>
      </c>
      <c r="K140" s="644">
        <v>42625</v>
      </c>
      <c r="L140" s="632" t="s">
        <v>398</v>
      </c>
      <c r="O140" s="285"/>
      <c r="P140" s="285"/>
      <c r="Q140" s="285"/>
      <c r="R140" s="285"/>
      <c r="T140" s="286"/>
    </row>
    <row r="141" spans="1:22" ht="30" customHeight="1" x14ac:dyDescent="0.2">
      <c r="A141" s="645"/>
      <c r="B141" s="646"/>
      <c r="C141" s="589"/>
      <c r="D141" s="640"/>
      <c r="E141" s="589"/>
      <c r="F141" s="444">
        <v>753.2</v>
      </c>
      <c r="G141" s="444">
        <v>0.1</v>
      </c>
      <c r="H141" s="446">
        <v>-0.64100000000000001</v>
      </c>
      <c r="I141" s="630">
        <v>6.4000000000000001E-2</v>
      </c>
      <c r="J141" s="656">
        <v>2</v>
      </c>
      <c r="K141" s="630">
        <v>42625</v>
      </c>
      <c r="L141" s="633" t="s">
        <v>344</v>
      </c>
      <c r="O141" s="285"/>
      <c r="P141" s="285"/>
      <c r="Q141" s="285"/>
      <c r="R141" s="285"/>
      <c r="T141" s="286"/>
    </row>
    <row r="142" spans="1:22" ht="30" customHeight="1" thickBot="1" x14ac:dyDescent="0.25">
      <c r="A142" s="653"/>
      <c r="B142" s="654"/>
      <c r="C142" s="590"/>
      <c r="D142" s="641"/>
      <c r="E142" s="590"/>
      <c r="F142" s="447">
        <v>1099.3</v>
      </c>
      <c r="G142" s="444">
        <v>0.1</v>
      </c>
      <c r="H142" s="447">
        <v>-0.06</v>
      </c>
      <c r="I142" s="643"/>
      <c r="J142" s="657"/>
      <c r="K142" s="643"/>
      <c r="L142" s="647"/>
      <c r="O142" s="285"/>
      <c r="P142" s="285"/>
      <c r="Q142" s="285"/>
      <c r="R142" s="285"/>
      <c r="T142" s="286"/>
    </row>
    <row r="143" spans="1:22" ht="30" customHeight="1" thickBot="1" x14ac:dyDescent="0.25">
      <c r="A143" s="415"/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  <c r="L143" s="286"/>
      <c r="O143" s="285"/>
      <c r="P143" s="285"/>
      <c r="Q143" s="285"/>
      <c r="R143" s="285"/>
      <c r="T143" s="286"/>
    </row>
    <row r="144" spans="1:22" ht="30" customHeight="1" x14ac:dyDescent="0.2">
      <c r="A144" s="648" t="s">
        <v>381</v>
      </c>
      <c r="B144" s="639"/>
      <c r="C144" s="606" t="s">
        <v>399</v>
      </c>
      <c r="D144" s="639" t="s">
        <v>308</v>
      </c>
      <c r="E144" s="677" t="s">
        <v>337</v>
      </c>
      <c r="F144" s="443">
        <v>18.2</v>
      </c>
      <c r="G144" s="443">
        <v>0.1</v>
      </c>
      <c r="H144" s="443">
        <v>0</v>
      </c>
      <c r="I144" s="650">
        <v>0.2</v>
      </c>
      <c r="J144" s="642">
        <v>1.96</v>
      </c>
      <c r="K144" s="631">
        <v>42586</v>
      </c>
      <c r="L144" s="652" t="s">
        <v>400</v>
      </c>
      <c r="O144" s="393"/>
      <c r="P144" s="410" t="s">
        <v>378</v>
      </c>
      <c r="Q144" s="418" t="s">
        <v>379</v>
      </c>
      <c r="R144" s="418" t="s">
        <v>380</v>
      </c>
      <c r="S144" s="612" t="s">
        <v>401</v>
      </c>
      <c r="T144" s="615" t="s">
        <v>402</v>
      </c>
    </row>
    <row r="145" spans="1:20" ht="30" customHeight="1" x14ac:dyDescent="0.2">
      <c r="A145" s="649"/>
      <c r="B145" s="640"/>
      <c r="C145" s="589"/>
      <c r="D145" s="640"/>
      <c r="E145" s="589"/>
      <c r="F145" s="445">
        <v>20</v>
      </c>
      <c r="G145" s="444">
        <v>0.1</v>
      </c>
      <c r="H145" s="444">
        <v>0.1</v>
      </c>
      <c r="I145" s="651"/>
      <c r="J145" s="630"/>
      <c r="K145" s="630">
        <v>42586</v>
      </c>
      <c r="L145" s="633" t="s">
        <v>339</v>
      </c>
      <c r="O145" s="586" t="s">
        <v>407</v>
      </c>
      <c r="P145" s="442">
        <f>I144</f>
        <v>0.2</v>
      </c>
      <c r="Q145" s="407">
        <f>I147</f>
        <v>1.7</v>
      </c>
      <c r="R145" s="407">
        <f>I150</f>
        <v>6.4000000000000001E-2</v>
      </c>
      <c r="S145" s="613"/>
      <c r="T145" s="536"/>
    </row>
    <row r="146" spans="1:20" ht="30" customHeight="1" thickBot="1" x14ac:dyDescent="0.25">
      <c r="A146" s="649"/>
      <c r="B146" s="640"/>
      <c r="C146" s="589"/>
      <c r="D146" s="640"/>
      <c r="E146" s="589"/>
      <c r="F146" s="445">
        <v>22</v>
      </c>
      <c r="G146" s="444">
        <v>0.1</v>
      </c>
      <c r="H146" s="445">
        <v>0</v>
      </c>
      <c r="I146" s="651"/>
      <c r="J146" s="630"/>
      <c r="K146" s="630">
        <v>42625</v>
      </c>
      <c r="L146" s="633" t="s">
        <v>340</v>
      </c>
      <c r="O146" s="587"/>
      <c r="P146" s="408"/>
      <c r="Q146" s="409"/>
      <c r="R146" s="409"/>
      <c r="S146" s="614"/>
      <c r="T146" s="537"/>
    </row>
    <row r="147" spans="1:20" ht="30" customHeight="1" x14ac:dyDescent="0.2">
      <c r="A147" s="645" t="s">
        <v>382</v>
      </c>
      <c r="B147" s="646"/>
      <c r="C147" s="589"/>
      <c r="D147" s="640"/>
      <c r="E147" s="589"/>
      <c r="F147" s="444">
        <v>41.8</v>
      </c>
      <c r="G147" s="444">
        <v>0.1</v>
      </c>
      <c r="H147" s="444">
        <v>-1.8</v>
      </c>
      <c r="I147" s="629">
        <v>1.7</v>
      </c>
      <c r="J147" s="629">
        <v>1.96</v>
      </c>
      <c r="K147" s="644">
        <v>42586</v>
      </c>
      <c r="L147" s="632" t="s">
        <v>403</v>
      </c>
      <c r="O147" s="285"/>
      <c r="P147" s="285"/>
      <c r="Q147" s="285"/>
      <c r="R147" s="285"/>
      <c r="T147" s="286"/>
    </row>
    <row r="148" spans="1:20" ht="30" customHeight="1" x14ac:dyDescent="0.2">
      <c r="A148" s="645"/>
      <c r="B148" s="646"/>
      <c r="C148" s="589"/>
      <c r="D148" s="640"/>
      <c r="E148" s="589"/>
      <c r="F148" s="444">
        <v>50.5</v>
      </c>
      <c r="G148" s="444">
        <v>0.1</v>
      </c>
      <c r="H148" s="444">
        <v>-0.5</v>
      </c>
      <c r="I148" s="630"/>
      <c r="J148" s="630"/>
      <c r="K148" s="630">
        <v>42586</v>
      </c>
      <c r="L148" s="633" t="s">
        <v>339</v>
      </c>
      <c r="O148" s="285"/>
      <c r="P148" s="285"/>
      <c r="Q148" s="285"/>
      <c r="R148" s="285"/>
      <c r="T148" s="286"/>
    </row>
    <row r="149" spans="1:20" ht="30" customHeight="1" x14ac:dyDescent="0.2">
      <c r="A149" s="645"/>
      <c r="B149" s="646"/>
      <c r="C149" s="589"/>
      <c r="D149" s="640"/>
      <c r="E149" s="589"/>
      <c r="F149" s="444">
        <v>59.3</v>
      </c>
      <c r="G149" s="444">
        <v>0.1</v>
      </c>
      <c r="H149" s="444">
        <v>0.7</v>
      </c>
      <c r="I149" s="630"/>
      <c r="J149" s="630"/>
      <c r="K149" s="630">
        <v>42625</v>
      </c>
      <c r="L149" s="633" t="s">
        <v>340</v>
      </c>
      <c r="O149" s="285"/>
      <c r="P149" s="285"/>
      <c r="Q149" s="285"/>
      <c r="R149" s="285"/>
      <c r="T149" s="286"/>
    </row>
    <row r="150" spans="1:20" ht="30" customHeight="1" x14ac:dyDescent="0.2">
      <c r="A150" s="645" t="s">
        <v>389</v>
      </c>
      <c r="B150" s="646"/>
      <c r="C150" s="589"/>
      <c r="D150" s="640"/>
      <c r="E150" s="589"/>
      <c r="F150" s="445">
        <v>397.9</v>
      </c>
      <c r="G150" s="444">
        <v>0.1</v>
      </c>
      <c r="H150" s="444">
        <v>-1.34</v>
      </c>
      <c r="I150" s="629">
        <v>6.4000000000000001E-2</v>
      </c>
      <c r="J150" s="655">
        <v>1.96</v>
      </c>
      <c r="K150" s="644">
        <v>42625</v>
      </c>
      <c r="L150" s="632" t="s">
        <v>404</v>
      </c>
      <c r="O150" s="286"/>
      <c r="T150" s="286"/>
    </row>
    <row r="151" spans="1:20" ht="30" customHeight="1" x14ac:dyDescent="0.2">
      <c r="A151" s="645"/>
      <c r="B151" s="646"/>
      <c r="C151" s="589"/>
      <c r="D151" s="640"/>
      <c r="E151" s="589"/>
      <c r="F151" s="444">
        <v>753.2</v>
      </c>
      <c r="G151" s="444">
        <v>0.1</v>
      </c>
      <c r="H151" s="446">
        <v>-0.64100000000000001</v>
      </c>
      <c r="I151" s="630">
        <v>1.7</v>
      </c>
      <c r="J151" s="656">
        <v>1.96</v>
      </c>
      <c r="K151" s="630">
        <v>42586</v>
      </c>
      <c r="L151" s="633" t="s">
        <v>339</v>
      </c>
      <c r="O151" s="286"/>
      <c r="T151" s="286"/>
    </row>
    <row r="152" spans="1:20" ht="30" customHeight="1" thickBot="1" x14ac:dyDescent="0.25">
      <c r="A152" s="653"/>
      <c r="B152" s="654"/>
      <c r="C152" s="590"/>
      <c r="D152" s="641"/>
      <c r="E152" s="590"/>
      <c r="F152" s="447">
        <v>1099.2</v>
      </c>
      <c r="G152" s="447">
        <v>0.1</v>
      </c>
      <c r="H152" s="447">
        <v>-0.54</v>
      </c>
      <c r="I152" s="643">
        <v>6.4000000000000001E-2</v>
      </c>
      <c r="J152" s="657">
        <v>2</v>
      </c>
      <c r="K152" s="643">
        <v>42625</v>
      </c>
      <c r="L152" s="647" t="s">
        <v>340</v>
      </c>
      <c r="O152" s="286"/>
      <c r="T152" s="286"/>
    </row>
    <row r="153" spans="1:20" ht="30" customHeight="1" x14ac:dyDescent="0.2"/>
    <row r="154" spans="1:20" ht="30" customHeight="1" thickBot="1" x14ac:dyDescent="0.25"/>
    <row r="155" spans="1:20" ht="30" customHeight="1" thickBot="1" x14ac:dyDescent="0.25">
      <c r="D155" s="663" t="s">
        <v>285</v>
      </c>
      <c r="E155" s="664"/>
      <c r="F155" s="664"/>
      <c r="G155" s="664"/>
      <c r="H155" s="665"/>
      <c r="J155" s="658" t="s">
        <v>320</v>
      </c>
      <c r="K155" s="659"/>
      <c r="L155" s="659"/>
      <c r="M155" s="659"/>
    </row>
    <row r="156" spans="1:20" ht="30" customHeight="1" thickBot="1" x14ac:dyDescent="0.25">
      <c r="D156" s="666"/>
      <c r="E156" s="667"/>
      <c r="F156" s="667"/>
      <c r="G156" s="667"/>
      <c r="H156" s="668"/>
      <c r="J156" s="660" t="s">
        <v>242</v>
      </c>
      <c r="K156" s="661"/>
      <c r="L156" s="661"/>
      <c r="M156" s="662"/>
    </row>
    <row r="157" spans="1:20" ht="30" customHeight="1" x14ac:dyDescent="0.2">
      <c r="D157" s="387" t="s">
        <v>188</v>
      </c>
      <c r="E157" s="669" t="s">
        <v>286</v>
      </c>
      <c r="F157" s="670"/>
      <c r="G157" s="670"/>
      <c r="H157" s="671"/>
      <c r="J157" s="360">
        <v>5</v>
      </c>
      <c r="K157" s="361" t="s">
        <v>244</v>
      </c>
      <c r="L157" s="362">
        <v>8200</v>
      </c>
      <c r="M157" s="327"/>
    </row>
    <row r="158" spans="1:20" ht="30" customHeight="1" thickBot="1" x14ac:dyDescent="0.25">
      <c r="D158" s="419"/>
      <c r="E158" s="420"/>
      <c r="F158" s="421"/>
      <c r="G158" s="421"/>
      <c r="H158" s="422"/>
      <c r="J158" s="360"/>
      <c r="K158" s="356"/>
      <c r="L158" s="356"/>
      <c r="M158" s="358"/>
    </row>
    <row r="159" spans="1:20" ht="30" customHeight="1" x14ac:dyDescent="0.2">
      <c r="D159" s="363" t="s">
        <v>287</v>
      </c>
      <c r="E159" s="371" t="s">
        <v>288</v>
      </c>
      <c r="F159" s="372"/>
      <c r="G159" s="372" t="s">
        <v>289</v>
      </c>
      <c r="H159" s="373"/>
      <c r="J159" s="360"/>
      <c r="K159" s="356"/>
      <c r="L159" s="356"/>
      <c r="M159" s="358"/>
    </row>
    <row r="160" spans="1:20" ht="30" customHeight="1" x14ac:dyDescent="0.2">
      <c r="B160" s="285" t="str">
        <f>IF('RT03-F15'!F134&lt;=(DATOS!I151),"")</f>
        <v/>
      </c>
      <c r="D160" s="363" t="s">
        <v>290</v>
      </c>
      <c r="E160" s="371" t="s">
        <v>291</v>
      </c>
      <c r="F160" s="372"/>
      <c r="G160" s="372" t="s">
        <v>292</v>
      </c>
      <c r="H160" s="373"/>
      <c r="J160" s="360"/>
      <c r="K160" s="357"/>
      <c r="L160" s="356"/>
      <c r="M160" s="358"/>
    </row>
    <row r="161" spans="4:13" ht="30" customHeight="1" x14ac:dyDescent="0.2">
      <c r="D161" s="363" t="s">
        <v>293</v>
      </c>
      <c r="E161" s="371" t="s">
        <v>294</v>
      </c>
      <c r="F161" s="372"/>
      <c r="G161" s="372" t="s">
        <v>295</v>
      </c>
      <c r="H161" s="373"/>
      <c r="J161" s="360"/>
      <c r="K161" s="365"/>
      <c r="L161" s="366"/>
      <c r="M161" s="367"/>
    </row>
    <row r="162" spans="4:13" ht="30" customHeight="1" thickBot="1" x14ac:dyDescent="0.25">
      <c r="D162" s="364" t="s">
        <v>296</v>
      </c>
      <c r="E162" s="374" t="s">
        <v>297</v>
      </c>
      <c r="F162" s="375"/>
      <c r="G162" s="376" t="s">
        <v>298</v>
      </c>
      <c r="H162" s="377"/>
      <c r="J162" s="360"/>
      <c r="K162" s="365"/>
      <c r="L162" s="365"/>
      <c r="M162" s="367"/>
    </row>
    <row r="163" spans="4:13" ht="30" customHeight="1" thickBot="1" x14ac:dyDescent="0.25">
      <c r="J163" s="394"/>
      <c r="K163" s="369"/>
      <c r="L163" s="395"/>
      <c r="M163" s="370"/>
    </row>
    <row r="164" spans="4:13" ht="30" customHeight="1" x14ac:dyDescent="0.2"/>
    <row r="165" spans="4:13" ht="30" customHeight="1" x14ac:dyDescent="0.2"/>
    <row r="199" spans="64:67" ht="35.1" customHeight="1" x14ac:dyDescent="0.25">
      <c r="BL199" s="378"/>
      <c r="BM199" s="378"/>
      <c r="BN199" s="378"/>
      <c r="BO199" s="378"/>
    </row>
    <row r="200" spans="64:67" ht="35.1" customHeight="1" x14ac:dyDescent="0.25">
      <c r="BL200" s="378"/>
      <c r="BM200" s="378"/>
      <c r="BN200" s="378"/>
      <c r="BO200" s="378"/>
    </row>
    <row r="201" spans="64:67" ht="35.1" customHeight="1" x14ac:dyDescent="0.25">
      <c r="BL201" s="378"/>
      <c r="BM201" s="378"/>
      <c r="BN201" s="378"/>
      <c r="BO201" s="378"/>
    </row>
    <row r="202" spans="64:67" ht="35.1" customHeight="1" x14ac:dyDescent="0.25">
      <c r="BL202" s="378"/>
      <c r="BM202" s="378"/>
      <c r="BN202" s="378"/>
      <c r="BO202" s="378"/>
    </row>
  </sheetData>
  <sheetProtection algorithmName="SHA-512" hashValue="DnV0jhAvTXJUMuOj27RSZaIZNm4moTGoxGnVXbD2VyzBCwJgUZhdgHbGS0uPWUXJPQuyZMsEDzwRr3hyh9xBew==" saltValue="KziWZb8AKYZLcvlT8sE8PA==" spinCount="100000" sheet="1" objects="1" scenarios="1"/>
  <mergeCells count="167">
    <mergeCell ref="L5:L6"/>
    <mergeCell ref="O114:O115"/>
    <mergeCell ref="O125:O126"/>
    <mergeCell ref="O135:O136"/>
    <mergeCell ref="O145:O146"/>
    <mergeCell ref="E113:E121"/>
    <mergeCell ref="I113:I115"/>
    <mergeCell ref="I116:I118"/>
    <mergeCell ref="I119:I121"/>
    <mergeCell ref="J119:J121"/>
    <mergeCell ref="K119:K121"/>
    <mergeCell ref="L119:L121"/>
    <mergeCell ref="E124:E132"/>
    <mergeCell ref="E134:E142"/>
    <mergeCell ref="E144:E152"/>
    <mergeCell ref="C96:T97"/>
    <mergeCell ref="C98:T98"/>
    <mergeCell ref="D99:D100"/>
    <mergeCell ref="E99:E100"/>
    <mergeCell ref="F99:F100"/>
    <mergeCell ref="G99:G100"/>
    <mergeCell ref="H99:H100"/>
    <mergeCell ref="I99:I100"/>
    <mergeCell ref="S102:S104"/>
    <mergeCell ref="J155:M155"/>
    <mergeCell ref="J156:M156"/>
    <mergeCell ref="C113:C121"/>
    <mergeCell ref="C124:C132"/>
    <mergeCell ref="C134:C142"/>
    <mergeCell ref="C144:C152"/>
    <mergeCell ref="L150:L152"/>
    <mergeCell ref="D155:H156"/>
    <mergeCell ref="E157:H157"/>
    <mergeCell ref="L144:L146"/>
    <mergeCell ref="L124:L126"/>
    <mergeCell ref="S144:S146"/>
    <mergeCell ref="T144:T146"/>
    <mergeCell ref="A147:B149"/>
    <mergeCell ref="I147:I149"/>
    <mergeCell ref="J147:J149"/>
    <mergeCell ref="K147:K149"/>
    <mergeCell ref="L147:L149"/>
    <mergeCell ref="A144:B146"/>
    <mergeCell ref="D144:D152"/>
    <mergeCell ref="I144:I146"/>
    <mergeCell ref="J144:J146"/>
    <mergeCell ref="K144:K146"/>
    <mergeCell ref="A150:B152"/>
    <mergeCell ref="I150:I152"/>
    <mergeCell ref="J150:J152"/>
    <mergeCell ref="K150:K152"/>
    <mergeCell ref="S134:S136"/>
    <mergeCell ref="T134:T136"/>
    <mergeCell ref="A137:B139"/>
    <mergeCell ref="I137:I139"/>
    <mergeCell ref="J137:J139"/>
    <mergeCell ref="K137:K139"/>
    <mergeCell ref="L137:L139"/>
    <mergeCell ref="L130:L132"/>
    <mergeCell ref="A134:B136"/>
    <mergeCell ref="D134:D142"/>
    <mergeCell ref="I134:I136"/>
    <mergeCell ref="J134:J136"/>
    <mergeCell ref="K134:K136"/>
    <mergeCell ref="L134:L136"/>
    <mergeCell ref="A140:B142"/>
    <mergeCell ref="I140:I142"/>
    <mergeCell ref="J140:J142"/>
    <mergeCell ref="K140:K142"/>
    <mergeCell ref="L140:L142"/>
    <mergeCell ref="S124:S126"/>
    <mergeCell ref="T124:T126"/>
    <mergeCell ref="A127:B129"/>
    <mergeCell ref="I127:I129"/>
    <mergeCell ref="J127:J129"/>
    <mergeCell ref="K127:K129"/>
    <mergeCell ref="L127:L129"/>
    <mergeCell ref="A124:B126"/>
    <mergeCell ref="D124:D132"/>
    <mergeCell ref="I124:I126"/>
    <mergeCell ref="J124:J126"/>
    <mergeCell ref="K124:K126"/>
    <mergeCell ref="A130:B132"/>
    <mergeCell ref="I130:I132"/>
    <mergeCell ref="J130:J132"/>
    <mergeCell ref="K130:K132"/>
    <mergeCell ref="A119:B121"/>
    <mergeCell ref="S99:S100"/>
    <mergeCell ref="T99:T100"/>
    <mergeCell ref="A108:B110"/>
    <mergeCell ref="A113:B115"/>
    <mergeCell ref="D113:D121"/>
    <mergeCell ref="J113:J115"/>
    <mergeCell ref="K113:K115"/>
    <mergeCell ref="L113:L115"/>
    <mergeCell ref="S113:S115"/>
    <mergeCell ref="T113:T115"/>
    <mergeCell ref="A116:B118"/>
    <mergeCell ref="J116:J118"/>
    <mergeCell ref="K116:K118"/>
    <mergeCell ref="L116:L118"/>
    <mergeCell ref="I108:I110"/>
    <mergeCell ref="J102:J104"/>
    <mergeCell ref="J105:J107"/>
    <mergeCell ref="J108:J110"/>
    <mergeCell ref="A105:B107"/>
    <mergeCell ref="K105:K107"/>
    <mergeCell ref="K108:K110"/>
    <mergeCell ref="I105:I107"/>
    <mergeCell ref="I102:I104"/>
    <mergeCell ref="A102:B104"/>
    <mergeCell ref="J99:J100"/>
    <mergeCell ref="K99:K100"/>
    <mergeCell ref="L99:L100"/>
    <mergeCell ref="O99:O100"/>
    <mergeCell ref="P99:R100"/>
    <mergeCell ref="C102:C110"/>
    <mergeCell ref="O103:O104"/>
    <mergeCell ref="E102:E110"/>
    <mergeCell ref="T102:T104"/>
    <mergeCell ref="D102:D110"/>
    <mergeCell ref="L102:L104"/>
    <mergeCell ref="L105:L107"/>
    <mergeCell ref="L108:L110"/>
    <mergeCell ref="K102:K104"/>
    <mergeCell ref="C12:L13"/>
    <mergeCell ref="C14:C15"/>
    <mergeCell ref="D14:D15"/>
    <mergeCell ref="E14:E15"/>
    <mergeCell ref="F14:F15"/>
    <mergeCell ref="H14:H15"/>
    <mergeCell ref="I14:I15"/>
    <mergeCell ref="J14:J15"/>
    <mergeCell ref="K14:K15"/>
    <mergeCell ref="L14:L15"/>
    <mergeCell ref="G14:G15"/>
    <mergeCell ref="C3:K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28:B32"/>
    <mergeCell ref="R25:R26"/>
    <mergeCell ref="C23:R24"/>
    <mergeCell ref="B73:B88"/>
    <mergeCell ref="B55:B70"/>
    <mergeCell ref="B38:B54"/>
    <mergeCell ref="Q25:Q26"/>
    <mergeCell ref="O25:O26"/>
    <mergeCell ref="C25:C26"/>
    <mergeCell ref="D25:D26"/>
    <mergeCell ref="E25:E26"/>
    <mergeCell ref="F25:F26"/>
    <mergeCell ref="G25:G26"/>
    <mergeCell ref="H25:H26"/>
    <mergeCell ref="I25:I26"/>
    <mergeCell ref="J25:J26"/>
    <mergeCell ref="M25:M26"/>
    <mergeCell ref="N25:N26"/>
    <mergeCell ref="K25:K26"/>
    <mergeCell ref="L25:L26"/>
    <mergeCell ref="P25:P26"/>
  </mergeCells>
  <pageMargins left="0.7" right="0.7" top="0.75" bottom="0.75" header="0.3" footer="0.3"/>
  <pageSetup scale="10" orientation="landscape" horizontalDpi="4294967293" r:id="rId1"/>
  <rowBreaks count="2" manualBreakCount="2">
    <brk id="89" max="16383" man="1"/>
    <brk id="112" max="19" man="1"/>
  </rowBreaks>
  <colBreaks count="1" manualBreakCount="1">
    <brk id="8" max="1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showGridLines="0" topLeftCell="A61" zoomScale="90" zoomScaleNormal="90" zoomScaleSheetLayoutView="10" workbookViewId="0">
      <selection activeCell="E144" sqref="E144"/>
    </sheetView>
  </sheetViews>
  <sheetFormatPr baseColWidth="10" defaultColWidth="15.7109375" defaultRowHeight="35.1" customHeight="1" x14ac:dyDescent="0.2"/>
  <cols>
    <col min="1" max="1" width="16.7109375" style="87" customWidth="1"/>
    <col min="2" max="4" width="16.7109375" style="92" customWidth="1"/>
    <col min="5" max="5" width="18.28515625" style="92" customWidth="1"/>
    <col min="6" max="11" width="16.7109375" style="92" customWidth="1"/>
    <col min="12" max="12" width="16.7109375" style="87" customWidth="1"/>
    <col min="13" max="16384" width="15.7109375" style="87"/>
  </cols>
  <sheetData>
    <row r="1" spans="1:20" ht="35.1" customHeight="1" x14ac:dyDescent="0.2">
      <c r="A1" s="692"/>
      <c r="B1" s="693"/>
      <c r="C1" s="706" t="s">
        <v>180</v>
      </c>
      <c r="D1" s="707"/>
      <c r="E1" s="707"/>
      <c r="F1" s="707"/>
      <c r="G1" s="707"/>
      <c r="H1" s="707"/>
      <c r="I1" s="707"/>
      <c r="J1" s="707"/>
      <c r="K1" s="707"/>
      <c r="L1" s="708"/>
    </row>
    <row r="2" spans="1:20" ht="35.1" customHeight="1" x14ac:dyDescent="0.2">
      <c r="A2" s="694"/>
      <c r="B2" s="695"/>
      <c r="C2" s="709"/>
      <c r="D2" s="710"/>
      <c r="E2" s="710"/>
      <c r="F2" s="710"/>
      <c r="G2" s="710"/>
      <c r="H2" s="710"/>
      <c r="I2" s="710"/>
      <c r="J2" s="710"/>
      <c r="K2" s="710"/>
      <c r="L2" s="711"/>
    </row>
    <row r="3" spans="1:20" ht="35.1" customHeight="1" x14ac:dyDescent="0.2">
      <c r="A3" s="696"/>
      <c r="B3" s="697"/>
      <c r="C3" s="712"/>
      <c r="D3" s="713"/>
      <c r="E3" s="713"/>
      <c r="F3" s="713"/>
      <c r="G3" s="713"/>
      <c r="H3" s="713"/>
      <c r="I3" s="713"/>
      <c r="J3" s="713"/>
      <c r="K3" s="713"/>
      <c r="L3" s="714"/>
    </row>
    <row r="4" spans="1:20" s="91" customFormat="1" ht="15" customHeight="1" thickBot="1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9"/>
      <c r="L4" s="90"/>
    </row>
    <row r="5" spans="1:20" ht="44.25" customHeight="1" thickBot="1" x14ac:dyDescent="0.25">
      <c r="B5" s="242" t="s">
        <v>7</v>
      </c>
      <c r="C5" s="243" t="s">
        <v>189</v>
      </c>
      <c r="D5" s="243" t="s">
        <v>356</v>
      </c>
      <c r="E5" s="243" t="s">
        <v>190</v>
      </c>
      <c r="F5" s="243" t="s">
        <v>84</v>
      </c>
      <c r="G5" s="244" t="s">
        <v>8</v>
      </c>
      <c r="H5" s="244" t="s">
        <v>77</v>
      </c>
      <c r="I5" s="245" t="s">
        <v>192</v>
      </c>
      <c r="J5" s="690"/>
      <c r="L5" s="93"/>
    </row>
    <row r="6" spans="1:20" ht="35.1" customHeight="1" thickBot="1" x14ac:dyDescent="0.25">
      <c r="A6" s="94"/>
      <c r="B6" s="239" t="e">
        <f>VLOOKUP($J$5,DATOS!$C$7:$K$22,2,FALSE)</f>
        <v>#N/A</v>
      </c>
      <c r="C6" s="273" t="e">
        <f>VLOOKUP($J$5,DATOS!$C$7:$K$22,3,FALSE)</f>
        <v>#N/A</v>
      </c>
      <c r="D6" s="239" t="e">
        <f>VLOOKUP($J$5,DATOS!$C$7:$K$22,8,FALSE)</f>
        <v>#N/A</v>
      </c>
      <c r="E6" s="239" t="e">
        <f>VLOOKUP($J$5,DATOS!$C$7:$K$22,6,FALSE)</f>
        <v>#N/A</v>
      </c>
      <c r="F6" s="273" t="e">
        <f>VLOOKUP($J$5,DATOS!$C$7:$K$22,7,FALSE)</f>
        <v>#N/A</v>
      </c>
      <c r="G6" s="239" t="e">
        <f>VLOOKUP($J$5,DATOS!$C$7:$K$22,4,FALSE)</f>
        <v>#N/A</v>
      </c>
      <c r="H6" s="239" t="e">
        <f>VLOOKUP($J$5,DATOS!$C$7:$K$22,5,FALSE)</f>
        <v>#N/A</v>
      </c>
      <c r="I6" s="239" t="e">
        <f>VLOOKUP($J$5,DATOS!$C$7:$K$22,9,FALSE)</f>
        <v>#N/A</v>
      </c>
      <c r="J6" s="691"/>
      <c r="L6" s="93"/>
    </row>
    <row r="7" spans="1:20" ht="9.9499999999999993" customHeight="1" thickBot="1" x14ac:dyDescent="0.25">
      <c r="B7" s="95"/>
      <c r="C7" s="96"/>
      <c r="D7" s="97"/>
      <c r="E7" s="96"/>
      <c r="F7" s="95"/>
      <c r="G7" s="98"/>
      <c r="H7" s="99"/>
      <c r="I7" s="95"/>
      <c r="J7" s="96"/>
      <c r="K7" s="96"/>
      <c r="L7" s="93"/>
    </row>
    <row r="8" spans="1:20" ht="35.1" customHeight="1" thickBot="1" x14ac:dyDescent="0.25">
      <c r="B8" s="698" t="s">
        <v>10</v>
      </c>
      <c r="C8" s="699"/>
      <c r="D8" s="699"/>
      <c r="E8" s="700"/>
      <c r="F8" s="256"/>
      <c r="G8" s="100"/>
      <c r="H8" s="100"/>
      <c r="I8" s="100"/>
      <c r="J8" s="100"/>
      <c r="K8" s="100"/>
      <c r="L8" s="100"/>
    </row>
    <row r="9" spans="1:20" ht="35.1" customHeight="1" thickBot="1" x14ac:dyDescent="0.25">
      <c r="B9" s="715" t="s">
        <v>3</v>
      </c>
      <c r="C9" s="715"/>
      <c r="D9" s="255" t="e">
        <f>VLOOKUP($F$8,DATOS!$C$16:$L$22,2,FALSE)</f>
        <v>#N/A</v>
      </c>
      <c r="E9" s="268"/>
      <c r="F9" s="101"/>
      <c r="G9" s="698" t="s">
        <v>326</v>
      </c>
      <c r="H9" s="699"/>
      <c r="I9" s="699"/>
      <c r="J9" s="700"/>
      <c r="K9" s="100"/>
      <c r="L9" s="100"/>
    </row>
    <row r="10" spans="1:20" ht="35.1" customHeight="1" thickBot="1" x14ac:dyDescent="0.25">
      <c r="B10" s="702" t="s">
        <v>9</v>
      </c>
      <c r="C10" s="702"/>
      <c r="D10" s="255" t="e">
        <f>VLOOKUP($F$8,DATOS!$C$16:$L$22,3,FALSE)</f>
        <v>#N/A</v>
      </c>
      <c r="E10" s="268"/>
      <c r="F10" s="101"/>
      <c r="G10" s="705" t="s">
        <v>328</v>
      </c>
      <c r="H10" s="705"/>
      <c r="I10" s="704" t="e">
        <f>VLOOKUP($K$10,DATOS!$B$27:$Q$88,1,FALSE)</f>
        <v>#N/A</v>
      </c>
      <c r="J10" s="704"/>
      <c r="K10" s="257"/>
      <c r="L10" s="100"/>
      <c r="M10" s="102"/>
      <c r="N10" s="102"/>
      <c r="O10" s="102"/>
      <c r="P10" s="102"/>
    </row>
    <row r="11" spans="1:20" ht="35.1" customHeight="1" x14ac:dyDescent="0.2">
      <c r="B11" s="702" t="s">
        <v>1</v>
      </c>
      <c r="C11" s="702"/>
      <c r="D11" s="255" t="e">
        <f>VLOOKUP($F$8,DATOS!$C$16:$L$22,4,FALSE)</f>
        <v>#N/A</v>
      </c>
      <c r="E11" s="268"/>
      <c r="F11" s="101"/>
      <c r="G11" s="702" t="s">
        <v>3</v>
      </c>
      <c r="H11" s="702"/>
      <c r="I11" s="716" t="e">
        <f>VLOOKUP($K$10,DATOS!$B$27:$R$88,4,FALSE)</f>
        <v>#N/A</v>
      </c>
      <c r="J11" s="717"/>
      <c r="K11" s="100"/>
      <c r="L11" s="100"/>
      <c r="P11" s="102"/>
    </row>
    <row r="12" spans="1:20" s="102" customFormat="1" ht="35.1" customHeight="1" x14ac:dyDescent="0.2">
      <c r="B12" s="702" t="s">
        <v>370</v>
      </c>
      <c r="C12" s="703"/>
      <c r="D12" s="272" t="e">
        <f>VLOOKUP($F$8,DATOS!$C$16:$L$22,5,FALSE)</f>
        <v>#N/A</v>
      </c>
      <c r="E12" s="268"/>
      <c r="F12" s="103"/>
      <c r="G12" s="702" t="s">
        <v>0</v>
      </c>
      <c r="H12" s="702"/>
      <c r="I12" s="716" t="e">
        <f>VLOOKUP($K$10,DATOS!$B$27:$R$88,3,FALSE)</f>
        <v>#N/A</v>
      </c>
      <c r="J12" s="717"/>
      <c r="K12" s="96"/>
      <c r="L12" s="104"/>
      <c r="Q12" s="87"/>
      <c r="R12" s="87"/>
      <c r="S12" s="87"/>
      <c r="T12" s="87"/>
    </row>
    <row r="13" spans="1:20" s="102" customFormat="1" ht="35.1" customHeight="1" x14ac:dyDescent="0.2">
      <c r="B13" s="703" t="s">
        <v>49</v>
      </c>
      <c r="C13" s="729"/>
      <c r="D13" s="272" t="e">
        <f>VLOOKUP($F$8,DATOS!$C$16:$L$22,6,FALSE)</f>
        <v>#N/A</v>
      </c>
      <c r="E13" s="268"/>
      <c r="F13" s="103"/>
      <c r="G13" s="702" t="s">
        <v>2</v>
      </c>
      <c r="H13" s="702"/>
      <c r="I13" s="716" t="e">
        <f>VLOOKUP($K$10,DATOS!$B$27:$R$88,7,FALSE)</f>
        <v>#N/A</v>
      </c>
      <c r="J13" s="717"/>
      <c r="K13" s="96"/>
      <c r="L13" s="104"/>
    </row>
    <row r="14" spans="1:20" s="102" customFormat="1" ht="35.1" customHeight="1" x14ac:dyDescent="0.2">
      <c r="B14" s="730" t="s">
        <v>357</v>
      </c>
      <c r="C14" s="731"/>
      <c r="D14" s="271" t="e">
        <f>VLOOKUP($F$8,DATOS!$C$16:$L$22,7,FALSE)</f>
        <v>#N/A</v>
      </c>
      <c r="E14" s="268"/>
      <c r="F14" s="103"/>
      <c r="G14" s="702" t="s">
        <v>306</v>
      </c>
      <c r="H14" s="702"/>
      <c r="I14" s="718" t="e">
        <f>VLOOKUP($K$10,DATOS!$B$27:$R$88,8,FALSE)</f>
        <v>#N/A</v>
      </c>
      <c r="J14" s="719"/>
      <c r="K14" s="96"/>
      <c r="L14" s="104"/>
    </row>
    <row r="15" spans="1:20" s="102" customFormat="1" ht="35.1" customHeight="1" x14ac:dyDescent="0.2">
      <c r="B15" s="730" t="s">
        <v>358</v>
      </c>
      <c r="C15" s="731"/>
      <c r="D15" s="272" t="e">
        <f>VLOOKUP($F$8,DATOS!$C$16:$L$22,8,FALSE)</f>
        <v>#N/A</v>
      </c>
      <c r="E15" s="268"/>
      <c r="F15" s="103"/>
      <c r="G15" s="702" t="s">
        <v>126</v>
      </c>
      <c r="H15" s="702"/>
      <c r="I15" s="716" t="e">
        <f>VLOOKUP($K$10,DATOS!$B$27:$R$88,17,FALSE)</f>
        <v>#N/A</v>
      </c>
      <c r="J15" s="717"/>
      <c r="K15" s="96"/>
      <c r="L15" s="96"/>
    </row>
    <row r="16" spans="1:20" s="102" customFormat="1" ht="9.9499999999999993" customHeight="1" thickBot="1" x14ac:dyDescent="0.3">
      <c r="B16" s="105"/>
      <c r="C16" s="105"/>
      <c r="D16" s="105"/>
      <c r="E16" s="105"/>
      <c r="F16" s="105"/>
      <c r="G16" s="106"/>
      <c r="H16" s="106"/>
      <c r="I16" s="107"/>
      <c r="J16" s="105"/>
      <c r="K16" s="96"/>
      <c r="L16" s="96"/>
    </row>
    <row r="17" spans="1:12" s="102" customFormat="1" ht="35.1" customHeight="1" thickBot="1" x14ac:dyDescent="0.3">
      <c r="B17" s="744" t="s">
        <v>11</v>
      </c>
      <c r="C17" s="745"/>
      <c r="D17" s="699"/>
      <c r="E17" s="699"/>
      <c r="F17" s="699"/>
      <c r="G17" s="699"/>
      <c r="H17" s="699"/>
      <c r="I17" s="699"/>
      <c r="J17" s="700"/>
      <c r="K17" s="96"/>
      <c r="L17" s="96"/>
    </row>
    <row r="18" spans="1:12" s="102" customFormat="1" ht="35.1" customHeight="1" thickBot="1" x14ac:dyDescent="0.3">
      <c r="B18" s="726" t="s">
        <v>107</v>
      </c>
      <c r="C18" s="726"/>
      <c r="D18" s="108"/>
      <c r="E18" s="109"/>
      <c r="F18" s="110"/>
      <c r="G18" s="746" t="s">
        <v>359</v>
      </c>
      <c r="H18" s="746"/>
      <c r="I18" s="746"/>
      <c r="J18" s="746"/>
      <c r="K18" s="96"/>
      <c r="L18" s="96"/>
    </row>
    <row r="19" spans="1:12" s="102" customFormat="1" ht="35.1" customHeight="1" thickBot="1" x14ac:dyDescent="0.3">
      <c r="B19" s="726"/>
      <c r="C19" s="726"/>
      <c r="D19" s="111"/>
      <c r="E19" s="258"/>
      <c r="F19" s="112"/>
      <c r="G19" s="743" t="s">
        <v>108</v>
      </c>
      <c r="H19" s="743" t="s">
        <v>168</v>
      </c>
      <c r="I19" s="743" t="s">
        <v>13</v>
      </c>
      <c r="J19" s="743" t="s">
        <v>360</v>
      </c>
      <c r="K19" s="96"/>
      <c r="L19" s="96"/>
    </row>
    <row r="20" spans="1:12" s="102" customFormat="1" ht="35.1" customHeight="1" thickBot="1" x14ac:dyDescent="0.3">
      <c r="B20" s="726"/>
      <c r="C20" s="726"/>
      <c r="D20" s="113"/>
      <c r="E20" s="114"/>
      <c r="F20" s="114"/>
      <c r="G20" s="743"/>
      <c r="H20" s="743"/>
      <c r="I20" s="743"/>
      <c r="J20" s="743"/>
      <c r="K20" s="96"/>
      <c r="L20" s="96"/>
    </row>
    <row r="21" spans="1:12" s="102" customFormat="1" ht="35.1" customHeight="1" thickBot="1" x14ac:dyDescent="0.3">
      <c r="B21" s="726" t="s">
        <v>12</v>
      </c>
      <c r="C21" s="726"/>
      <c r="D21" s="115"/>
      <c r="E21" s="115"/>
      <c r="F21" s="116"/>
      <c r="G21" s="241" t="e">
        <f>VLOOKUP($K$21,DATOS!$C$27:$R$88,8,FALSE)</f>
        <v>#N/A</v>
      </c>
      <c r="H21" s="241" t="e">
        <f>VLOOKUP($K$21,DATOS!$C$27:$R$88,12,FALSE)</f>
        <v>#N/A</v>
      </c>
      <c r="I21" s="241" t="e">
        <f>VLOOKUP($K$21,DATOS!$C$27:$R$88,13,FALSE)</f>
        <v>#N/A</v>
      </c>
      <c r="J21" s="241" t="e">
        <f>VLOOKUP($K$21,DATOS!$C$27:$R$88,5,FALSE)</f>
        <v>#N/A</v>
      </c>
      <c r="K21" s="260"/>
      <c r="L21" s="96"/>
    </row>
    <row r="22" spans="1:12" s="102" customFormat="1" ht="35.1" customHeight="1" thickBot="1" x14ac:dyDescent="0.3">
      <c r="B22" s="726"/>
      <c r="C22" s="727"/>
      <c r="D22" s="259"/>
      <c r="E22" s="259"/>
      <c r="F22" s="259"/>
      <c r="G22" s="241" t="e">
        <f>VLOOKUP($K$22,DATOS!$C$27:$R$88,8,FALSE)</f>
        <v>#N/A</v>
      </c>
      <c r="H22" s="241" t="e">
        <f>VLOOKUP($K$22,DATOS!$C$27:$R$88,12,FALSE)</f>
        <v>#N/A</v>
      </c>
      <c r="I22" s="241" t="e">
        <f>VLOOKUP($K$22,DATOS!$C$27:$R$88,13,FALSE)</f>
        <v>#N/A</v>
      </c>
      <c r="J22" s="241" t="e">
        <f>VLOOKUP($K$22,DATOS!$C$27:$R$88,5,FALSE)</f>
        <v>#N/A</v>
      </c>
      <c r="K22" s="260"/>
      <c r="L22" s="96"/>
    </row>
    <row r="23" spans="1:12" s="102" customFormat="1" ht="35.1" customHeight="1" thickBot="1" x14ac:dyDescent="0.3">
      <c r="A23" s="105"/>
      <c r="B23" s="726"/>
      <c r="C23" s="726"/>
      <c r="D23" s="117"/>
      <c r="E23" s="118"/>
      <c r="F23" s="117"/>
      <c r="G23" s="241" t="e">
        <f>VLOOKUP($K$23,DATOS!$C$27:$R$88,8,FALSE)</f>
        <v>#N/A</v>
      </c>
      <c r="H23" s="241" t="e">
        <f>VLOOKUP($K$23,DATOS!$C$27:$R$88,12,FALSE)</f>
        <v>#N/A</v>
      </c>
      <c r="I23" s="241" t="e">
        <f>VLOOKUP($K$23,DATOS!$C$27:$R$88,13,FALSE)</f>
        <v>#N/A</v>
      </c>
      <c r="J23" s="241" t="e">
        <f>VLOOKUP($K$23,DATOS!$C$27:$R$88,5,FALSE)</f>
        <v>#N/A</v>
      </c>
      <c r="K23" s="260"/>
      <c r="L23" s="96"/>
    </row>
    <row r="24" spans="1:12" s="102" customFormat="1" ht="35.1" customHeight="1" thickBot="1" x14ac:dyDescent="0.3">
      <c r="A24" s="105"/>
      <c r="C24" s="776" t="s">
        <v>309</v>
      </c>
      <c r="D24" s="777"/>
      <c r="E24" s="256"/>
      <c r="G24" s="241" t="e">
        <f>VLOOKUP($K$24,DATOS!$C$27:$R$88,8,FALSE)</f>
        <v>#N/A</v>
      </c>
      <c r="H24" s="241" t="e">
        <f>VLOOKUP($K$24,DATOS!$C$27:$R$88,12,FALSE)</f>
        <v>#N/A</v>
      </c>
      <c r="I24" s="241" t="e">
        <f>VLOOKUP($K$24,DATOS!$C$27:$R$88,13,FALSE)</f>
        <v>#N/A</v>
      </c>
      <c r="J24" s="241" t="e">
        <f>VLOOKUP($K$24,DATOS!$C$27:$R$88,5,FALSE)</f>
        <v>#N/A</v>
      </c>
      <c r="K24" s="260"/>
      <c r="L24" s="96"/>
    </row>
    <row r="25" spans="1:12" s="102" customFormat="1" ht="35.1" customHeight="1" x14ac:dyDescent="0.25">
      <c r="A25" s="119"/>
      <c r="B25" s="120" t="s">
        <v>325</v>
      </c>
      <c r="C25" s="120" t="s">
        <v>169</v>
      </c>
      <c r="D25" s="121" t="s">
        <v>60</v>
      </c>
      <c r="E25" s="122" t="s">
        <v>194</v>
      </c>
      <c r="G25" s="241" t="e">
        <f>G22+G23+G24+B26</f>
        <v>#N/A</v>
      </c>
      <c r="H25" s="241" t="e">
        <f t="shared" ref="H25:I25" si="0">H22+H23+H24+C26</f>
        <v>#N/A</v>
      </c>
      <c r="I25" s="241" t="e">
        <f t="shared" si="0"/>
        <v>#N/A</v>
      </c>
      <c r="J25" s="241" t="e">
        <f>VLOOKUP($K$24,DATOS!$C$27:$R$88,5,FALSE)</f>
        <v>#N/A</v>
      </c>
      <c r="K25" s="96"/>
    </row>
    <row r="26" spans="1:12" s="102" customFormat="1" ht="35.1" customHeight="1" thickBot="1" x14ac:dyDescent="0.3">
      <c r="A26" s="105"/>
      <c r="B26" s="241" t="e">
        <f>VLOOKUP($E$24,DATOS!$C$27:$R$88,8,FALSE)</f>
        <v>#N/A</v>
      </c>
      <c r="C26" s="241" t="e">
        <f>VLOOKUP($E$24,DATOS!$C$27:$R$88,12,FALSE)</f>
        <v>#N/A</v>
      </c>
      <c r="D26" s="241" t="e">
        <f>VLOOKUP($E$24,DATOS!$C$27:$R$88,13,FALSE)</f>
        <v>#N/A</v>
      </c>
      <c r="E26" s="241" t="e">
        <f>VLOOKUP($E$24,DATOS!$C$27:$R$88,5,FALSE)</f>
        <v>#N/A</v>
      </c>
      <c r="F26" s="123" t="s">
        <v>124</v>
      </c>
      <c r="G26" s="124">
        <f>5-2</f>
        <v>3</v>
      </c>
      <c r="H26" s="96"/>
      <c r="I26" s="458"/>
    </row>
    <row r="27" spans="1:12" s="102" customFormat="1" ht="36" customHeight="1" x14ac:dyDescent="0.25">
      <c r="A27" s="105"/>
      <c r="B27" s="720" t="s">
        <v>371</v>
      </c>
      <c r="C27" s="721"/>
      <c r="D27" s="721"/>
      <c r="E27" s="721"/>
      <c r="F27" s="721"/>
      <c r="G27" s="721"/>
      <c r="H27" s="721"/>
      <c r="I27" s="721"/>
      <c r="J27" s="721"/>
      <c r="K27" s="722"/>
    </row>
    <row r="28" spans="1:12" ht="49.5" customHeight="1" x14ac:dyDescent="0.25">
      <c r="A28" s="105"/>
      <c r="B28" s="402" t="s">
        <v>3</v>
      </c>
      <c r="C28" s="241" t="e">
        <f>VLOOKUP($K$28,DATOS!$C$101:$T$153,2,FALSE)</f>
        <v>#N/A</v>
      </c>
      <c r="D28" s="402" t="s">
        <v>83</v>
      </c>
      <c r="E28" s="178" t="e">
        <f>VLOOKUP($K$28,DATOS!$C$101:$T$153,3,FALSE)</f>
        <v>#N/A</v>
      </c>
      <c r="F28" s="403" t="s">
        <v>2</v>
      </c>
      <c r="G28" s="723" t="e">
        <f>VLOOKUP($K$28,DATOS!$C$101:$T$153,18,FALSE)</f>
        <v>#N/A</v>
      </c>
      <c r="H28" s="724"/>
      <c r="I28" s="402" t="s">
        <v>372</v>
      </c>
      <c r="J28" s="462" t="e">
        <f>VLOOKUP($K$28,DATOS!$C$101:$T$153,17,FALSE)</f>
        <v>#N/A</v>
      </c>
      <c r="K28" s="404"/>
    </row>
    <row r="29" spans="1:12" ht="35.1" customHeight="1" x14ac:dyDescent="0.25">
      <c r="A29" s="105"/>
      <c r="B29" s="725" t="s">
        <v>374</v>
      </c>
      <c r="C29" s="725"/>
      <c r="D29" s="405" t="s">
        <v>6</v>
      </c>
      <c r="E29" s="241" t="e">
        <f>VLOOKUP($K$29,DATOS!$O$101:$R$147,2,FALSE)</f>
        <v>#N/A</v>
      </c>
      <c r="F29" s="779" t="s">
        <v>4</v>
      </c>
      <c r="G29" s="779"/>
      <c r="H29" s="241" t="e">
        <f>VLOOKUP($K$29,DATOS!$O$101:$R$147,3,FALSE)</f>
        <v>#N/A</v>
      </c>
      <c r="I29" s="402" t="s">
        <v>5</v>
      </c>
      <c r="J29" s="241" t="e">
        <f>VLOOKUP($K$29,DATOS!$O$101:$R$147,4,FALSE)</f>
        <v>#N/A</v>
      </c>
      <c r="K29" s="404"/>
    </row>
    <row r="30" spans="1:12" ht="35.1" customHeight="1" thickBot="1" x14ac:dyDescent="0.3">
      <c r="A30" s="105"/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2" ht="35.1" customHeight="1" thickBot="1" x14ac:dyDescent="0.25">
      <c r="A31" s="126"/>
      <c r="B31" s="698" t="s">
        <v>61</v>
      </c>
      <c r="C31" s="699"/>
      <c r="D31" s="699"/>
      <c r="E31" s="699"/>
      <c r="F31" s="699"/>
      <c r="G31" s="699"/>
      <c r="H31" s="699"/>
      <c r="I31" s="700"/>
      <c r="K31" s="125" t="s">
        <v>127</v>
      </c>
      <c r="L31" s="96"/>
    </row>
    <row r="32" spans="1:12" ht="38.25" customHeight="1" thickBot="1" x14ac:dyDescent="0.25">
      <c r="B32" s="481" t="s">
        <v>417</v>
      </c>
      <c r="C32" s="261"/>
      <c r="D32" s="128" t="s">
        <v>6</v>
      </c>
      <c r="E32" s="262"/>
      <c r="F32" s="129" t="s">
        <v>4</v>
      </c>
      <c r="G32" s="262"/>
      <c r="H32" s="127" t="s">
        <v>5</v>
      </c>
      <c r="I32" s="263"/>
      <c r="K32" s="130" t="s">
        <v>54</v>
      </c>
      <c r="L32" s="131">
        <f>DATOS!M7</f>
        <v>0</v>
      </c>
    </row>
    <row r="33" spans="1:11" ht="35.1" customHeight="1" thickBot="1" x14ac:dyDescent="0.25">
      <c r="A33" s="92"/>
      <c r="B33" s="698" t="s">
        <v>14</v>
      </c>
      <c r="C33" s="699"/>
      <c r="D33" s="699"/>
      <c r="E33" s="699"/>
      <c r="F33" s="699"/>
      <c r="G33" s="700"/>
    </row>
    <row r="34" spans="1:11" ht="35.1" customHeight="1" x14ac:dyDescent="0.2">
      <c r="A34" s="92"/>
      <c r="C34" s="127" t="s">
        <v>56</v>
      </c>
      <c r="D34" s="127" t="s">
        <v>55</v>
      </c>
      <c r="E34" s="132">
        <f>E19</f>
        <v>0</v>
      </c>
      <c r="F34" s="127" t="s">
        <v>48</v>
      </c>
      <c r="G34" s="132">
        <f>E34*1000</f>
        <v>0</v>
      </c>
    </row>
    <row r="35" spans="1:11" ht="35.1" customHeight="1" x14ac:dyDescent="0.2">
      <c r="A35" s="92"/>
      <c r="B35" s="133" t="s">
        <v>15</v>
      </c>
      <c r="C35" s="134">
        <v>1</v>
      </c>
      <c r="D35" s="134">
        <v>2</v>
      </c>
      <c r="E35" s="134">
        <v>3</v>
      </c>
      <c r="F35" s="134">
        <v>4</v>
      </c>
      <c r="G35" s="134">
        <v>5</v>
      </c>
    </row>
    <row r="36" spans="1:11" ht="35.1" customHeight="1" x14ac:dyDescent="0.2">
      <c r="A36" s="92"/>
      <c r="B36" s="135" t="s">
        <v>361</v>
      </c>
      <c r="C36" s="264"/>
      <c r="D36" s="264"/>
      <c r="E36" s="264"/>
      <c r="F36" s="264"/>
      <c r="G36" s="264"/>
    </row>
    <row r="37" spans="1:11" ht="35.1" customHeight="1" x14ac:dyDescent="0.2">
      <c r="A37" s="92"/>
      <c r="B37" s="135" t="s">
        <v>16</v>
      </c>
      <c r="C37" s="136">
        <f>$C$36-C36</f>
        <v>0</v>
      </c>
      <c r="D37" s="136">
        <f t="shared" ref="D37:G37" si="1">$C$36-D36</f>
        <v>0</v>
      </c>
      <c r="E37" s="136">
        <f t="shared" si="1"/>
        <v>0</v>
      </c>
      <c r="F37" s="136">
        <f>$C$36-F36</f>
        <v>0</v>
      </c>
      <c r="G37" s="136">
        <f t="shared" si="1"/>
        <v>0</v>
      </c>
    </row>
    <row r="38" spans="1:11" ht="35.1" customHeight="1" x14ac:dyDescent="0.2">
      <c r="A38" s="92"/>
      <c r="B38" s="135" t="s">
        <v>47</v>
      </c>
      <c r="C38" s="136">
        <f>ABS(C37)</f>
        <v>0</v>
      </c>
      <c r="D38" s="136">
        <f t="shared" ref="D38:G38" si="2">ABS(D37)</f>
        <v>0</v>
      </c>
      <c r="E38" s="136">
        <f t="shared" si="2"/>
        <v>0</v>
      </c>
      <c r="F38" s="136">
        <f t="shared" si="2"/>
        <v>0</v>
      </c>
      <c r="G38" s="136">
        <f t="shared" si="2"/>
        <v>0</v>
      </c>
    </row>
    <row r="39" spans="1:11" ht="35.1" customHeight="1" x14ac:dyDescent="0.25">
      <c r="A39" s="92"/>
      <c r="B39" s="137" t="s">
        <v>48</v>
      </c>
      <c r="C39" s="138">
        <f>MAX(C38:G38)*1000</f>
        <v>0</v>
      </c>
      <c r="D39" s="139"/>
      <c r="E39" s="139"/>
      <c r="F39" s="139"/>
      <c r="G39" s="139"/>
    </row>
    <row r="40" spans="1:11" ht="9.9499999999999993" customHeight="1" thickBot="1" x14ac:dyDescent="0.25">
      <c r="A40" s="92"/>
    </row>
    <row r="41" spans="1:11" ht="35.1" customHeight="1" thickBot="1" x14ac:dyDescent="0.25">
      <c r="B41" s="698" t="s">
        <v>17</v>
      </c>
      <c r="C41" s="699"/>
      <c r="D41" s="699"/>
      <c r="E41" s="699"/>
      <c r="F41" s="699"/>
      <c r="G41" s="699"/>
      <c r="H41" s="699"/>
      <c r="I41" s="699"/>
      <c r="J41" s="699"/>
      <c r="K41" s="700"/>
    </row>
    <row r="42" spans="1:11" s="140" customFormat="1" ht="35.1" customHeight="1" x14ac:dyDescent="0.2">
      <c r="B42" s="701" t="s">
        <v>20</v>
      </c>
      <c r="C42" s="701"/>
      <c r="D42" s="701"/>
      <c r="E42" s="701"/>
      <c r="F42" s="701"/>
      <c r="G42" s="701"/>
      <c r="H42" s="701"/>
      <c r="I42" s="701"/>
      <c r="J42" s="701"/>
      <c r="K42" s="122" t="s">
        <v>51</v>
      </c>
    </row>
    <row r="43" spans="1:11" ht="35.1" customHeight="1" x14ac:dyDescent="0.2">
      <c r="A43" s="120" t="s">
        <v>18</v>
      </c>
      <c r="B43" s="141">
        <v>1</v>
      </c>
      <c r="C43" s="141">
        <v>2</v>
      </c>
      <c r="D43" s="141">
        <v>3</v>
      </c>
      <c r="E43" s="141">
        <v>4</v>
      </c>
      <c r="F43" s="141">
        <v>5</v>
      </c>
      <c r="G43" s="141">
        <v>6</v>
      </c>
      <c r="H43" s="141">
        <v>7</v>
      </c>
      <c r="I43" s="141">
        <v>8</v>
      </c>
      <c r="J43" s="141">
        <v>9</v>
      </c>
      <c r="K43" s="142">
        <v>10</v>
      </c>
    </row>
    <row r="44" spans="1:11" ht="35.1" customHeight="1" x14ac:dyDescent="0.2">
      <c r="A44" s="143">
        <f>D22</f>
        <v>0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</row>
    <row r="45" spans="1:11" ht="35.1" customHeight="1" x14ac:dyDescent="0.2">
      <c r="A45" s="143">
        <f>E22</f>
        <v>0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</row>
    <row r="46" spans="1:11" ht="35.1" customHeight="1" x14ac:dyDescent="0.2">
      <c r="A46" s="143">
        <f>F22</f>
        <v>0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</row>
    <row r="47" spans="1:11" ht="35.1" customHeight="1" x14ac:dyDescent="0.2">
      <c r="B47" s="120" t="s">
        <v>18</v>
      </c>
      <c r="C47" s="120" t="s">
        <v>19</v>
      </c>
      <c r="D47" s="144" t="s">
        <v>64</v>
      </c>
      <c r="E47" s="144" t="s">
        <v>63</v>
      </c>
      <c r="F47" s="144" t="s">
        <v>362</v>
      </c>
      <c r="H47" s="87"/>
      <c r="J47" s="87"/>
      <c r="K47" s="145"/>
    </row>
    <row r="48" spans="1:11" ht="35.1" customHeight="1" x14ac:dyDescent="0.2">
      <c r="B48" s="379">
        <f>A44</f>
        <v>0</v>
      </c>
      <c r="C48" s="158" t="e">
        <f>AVERAGE(B44:K44)</f>
        <v>#DIV/0!</v>
      </c>
      <c r="D48" s="158" t="e">
        <f>_xlfn.STDEV.S(B44:K44)</f>
        <v>#DIV/0!</v>
      </c>
      <c r="E48" s="158" t="e">
        <f>D48*1000</f>
        <v>#DIV/0!</v>
      </c>
      <c r="F48" s="158" t="e">
        <f>MAX(E48:E50)</f>
        <v>#DIV/0!</v>
      </c>
      <c r="H48" s="87"/>
      <c r="I48" s="265"/>
      <c r="J48" s="93"/>
      <c r="K48" s="87"/>
    </row>
    <row r="49" spans="1:13" ht="35.1" customHeight="1" x14ac:dyDescent="0.2">
      <c r="B49" s="379">
        <f>A45</f>
        <v>0</v>
      </c>
      <c r="C49" s="158" t="e">
        <f t="shared" ref="C49:C50" si="3">AVERAGE(B45:K45)</f>
        <v>#DIV/0!</v>
      </c>
      <c r="D49" s="158" t="e">
        <f t="shared" ref="D49:D50" si="4">_xlfn.STDEV.S(B45:K45)</f>
        <v>#DIV/0!</v>
      </c>
      <c r="E49" s="158" t="e">
        <f t="shared" ref="E49:E50" si="5">D49*1000</f>
        <v>#DIV/0!</v>
      </c>
      <c r="H49" s="87"/>
      <c r="I49" s="87"/>
      <c r="J49" s="93"/>
      <c r="K49" s="87"/>
    </row>
    <row r="50" spans="1:13" ht="35.1" customHeight="1" x14ac:dyDescent="0.2">
      <c r="A50" s="92"/>
      <c r="B50" s="379">
        <f>A46</f>
        <v>0</v>
      </c>
      <c r="C50" s="158" t="e">
        <f t="shared" si="3"/>
        <v>#DIV/0!</v>
      </c>
      <c r="D50" s="158" t="e">
        <f t="shared" si="4"/>
        <v>#DIV/0!</v>
      </c>
      <c r="E50" s="158" t="e">
        <f t="shared" si="5"/>
        <v>#DIV/0!</v>
      </c>
      <c r="H50" s="87"/>
      <c r="I50" s="93"/>
      <c r="J50" s="93"/>
      <c r="K50" s="93"/>
    </row>
    <row r="51" spans="1:13" ht="29.25" customHeight="1" thickBot="1" x14ac:dyDescent="0.25">
      <c r="A51" s="92"/>
      <c r="B51" s="87"/>
      <c r="C51" s="87"/>
      <c r="D51" s="87"/>
      <c r="E51" s="87"/>
      <c r="F51" s="87"/>
      <c r="G51" s="87"/>
      <c r="H51" s="87"/>
      <c r="I51" s="93"/>
      <c r="J51" s="93"/>
      <c r="K51" s="93"/>
    </row>
    <row r="52" spans="1:13" ht="35.1" customHeight="1" thickBot="1" x14ac:dyDescent="0.25">
      <c r="A52" s="92"/>
      <c r="B52" s="698" t="s">
        <v>23</v>
      </c>
      <c r="C52" s="699"/>
      <c r="D52" s="699"/>
      <c r="E52" s="699"/>
      <c r="F52" s="699"/>
      <c r="G52" s="699"/>
      <c r="H52" s="699"/>
      <c r="I52" s="699"/>
      <c r="J52" s="699"/>
      <c r="K52" s="699"/>
      <c r="L52" s="700"/>
    </row>
    <row r="53" spans="1:13" ht="35.1" customHeight="1" thickBot="1" x14ac:dyDescent="0.25">
      <c r="B53" s="698" t="s">
        <v>117</v>
      </c>
      <c r="C53" s="699"/>
      <c r="D53" s="699"/>
      <c r="E53" s="700"/>
      <c r="F53" s="148"/>
      <c r="G53" s="698" t="s">
        <v>118</v>
      </c>
      <c r="H53" s="699"/>
      <c r="I53" s="699"/>
      <c r="J53" s="699"/>
      <c r="K53" s="699"/>
      <c r="L53" s="700"/>
    </row>
    <row r="54" spans="1:13" ht="35.1" customHeight="1" x14ac:dyDescent="0.2">
      <c r="A54" s="92"/>
      <c r="B54" s="122" t="s">
        <v>18</v>
      </c>
      <c r="C54" s="149" t="s">
        <v>185</v>
      </c>
      <c r="D54" s="150" t="s">
        <v>36</v>
      </c>
      <c r="E54" s="150" t="s">
        <v>36</v>
      </c>
      <c r="F54" s="148"/>
      <c r="G54" s="149" t="s">
        <v>185</v>
      </c>
      <c r="H54" s="149" t="s">
        <v>363</v>
      </c>
      <c r="I54" s="149"/>
      <c r="J54" s="149"/>
      <c r="K54" s="150" t="s">
        <v>36</v>
      </c>
      <c r="L54" s="150" t="s">
        <v>36</v>
      </c>
    </row>
    <row r="55" spans="1:13" ht="35.1" customHeight="1" x14ac:dyDescent="0.2">
      <c r="A55" s="92"/>
      <c r="B55" s="151" t="e">
        <f>H21</f>
        <v>#N/A</v>
      </c>
      <c r="C55" s="264"/>
      <c r="D55" s="152" t="e">
        <f>C55-B55</f>
        <v>#N/A</v>
      </c>
      <c r="E55" s="147" t="e">
        <f>D55*1000</f>
        <v>#N/A</v>
      </c>
      <c r="F55" s="148"/>
      <c r="G55" s="264"/>
      <c r="H55" s="264"/>
      <c r="I55" s="153" t="e">
        <f>AVERAGE(G55:H55)</f>
        <v>#DIV/0!</v>
      </c>
      <c r="J55" s="146" t="e">
        <f>I55*1000</f>
        <v>#DIV/0!</v>
      </c>
      <c r="K55" s="152" t="e">
        <f>I55-B55</f>
        <v>#DIV/0!</v>
      </c>
      <c r="L55" s="251" t="e">
        <f>K55*1000</f>
        <v>#DIV/0!</v>
      </c>
    </row>
    <row r="56" spans="1:13" ht="35.1" customHeight="1" x14ac:dyDescent="0.2">
      <c r="A56" s="92"/>
      <c r="B56" s="154" t="e">
        <f>H22</f>
        <v>#N/A</v>
      </c>
      <c r="C56" s="264"/>
      <c r="D56" s="152" t="e">
        <f t="shared" ref="D56:D59" si="6">C56-B56</f>
        <v>#N/A</v>
      </c>
      <c r="E56" s="147" t="e">
        <f t="shared" ref="E56:E59" si="7">D56*1000</f>
        <v>#N/A</v>
      </c>
      <c r="F56" s="148"/>
      <c r="G56" s="264"/>
      <c r="H56" s="264"/>
      <c r="I56" s="153" t="e">
        <f>AVERAGE(G56:H56)</f>
        <v>#DIV/0!</v>
      </c>
      <c r="J56" s="146" t="e">
        <f>I56*1000</f>
        <v>#DIV/0!</v>
      </c>
      <c r="K56" s="152" t="e">
        <f>I56-B56</f>
        <v>#DIV/0!</v>
      </c>
      <c r="L56" s="251" t="e">
        <f t="shared" ref="L56:L59" si="8">K56*1000</f>
        <v>#DIV/0!</v>
      </c>
    </row>
    <row r="57" spans="1:13" ht="35.1" customHeight="1" x14ac:dyDescent="0.2">
      <c r="A57" s="92"/>
      <c r="B57" s="154" t="e">
        <f>H23</f>
        <v>#N/A</v>
      </c>
      <c r="C57" s="264"/>
      <c r="D57" s="152" t="e">
        <f t="shared" si="6"/>
        <v>#N/A</v>
      </c>
      <c r="E57" s="147" t="e">
        <f t="shared" si="7"/>
        <v>#N/A</v>
      </c>
      <c r="F57" s="148"/>
      <c r="G57" s="264"/>
      <c r="H57" s="264"/>
      <c r="I57" s="153" t="e">
        <f>AVERAGE(G57:H57)</f>
        <v>#DIV/0!</v>
      </c>
      <c r="J57" s="146" t="e">
        <f t="shared" ref="J57:J59" si="9">I57*1000</f>
        <v>#DIV/0!</v>
      </c>
      <c r="K57" s="152" t="e">
        <f>I57-B57</f>
        <v>#DIV/0!</v>
      </c>
      <c r="L57" s="252" t="e">
        <f t="shared" si="8"/>
        <v>#DIV/0!</v>
      </c>
    </row>
    <row r="58" spans="1:13" ht="35.1" customHeight="1" x14ac:dyDescent="0.2">
      <c r="A58" s="92"/>
      <c r="B58" s="154" t="e">
        <f>H24</f>
        <v>#N/A</v>
      </c>
      <c r="C58" s="264"/>
      <c r="D58" s="152" t="e">
        <f t="shared" si="6"/>
        <v>#N/A</v>
      </c>
      <c r="E58" s="147" t="e">
        <f t="shared" si="7"/>
        <v>#N/A</v>
      </c>
      <c r="F58" s="148"/>
      <c r="G58" s="264"/>
      <c r="H58" s="264"/>
      <c r="I58" s="153" t="e">
        <f>AVERAGE(G58:H58)</f>
        <v>#DIV/0!</v>
      </c>
      <c r="J58" s="146" t="e">
        <f t="shared" si="9"/>
        <v>#DIV/0!</v>
      </c>
      <c r="K58" s="152" t="e">
        <f>I58-B58</f>
        <v>#DIV/0!</v>
      </c>
      <c r="L58" s="252" t="e">
        <f t="shared" si="8"/>
        <v>#DIV/0!</v>
      </c>
    </row>
    <row r="59" spans="1:13" ht="35.1" customHeight="1" x14ac:dyDescent="0.2">
      <c r="A59" s="92"/>
      <c r="B59" s="154" t="e">
        <f>H25</f>
        <v>#N/A</v>
      </c>
      <c r="C59" s="264"/>
      <c r="D59" s="152" t="e">
        <f t="shared" si="6"/>
        <v>#N/A</v>
      </c>
      <c r="E59" s="147" t="e">
        <f t="shared" si="7"/>
        <v>#N/A</v>
      </c>
      <c r="F59" s="156"/>
      <c r="G59" s="264"/>
      <c r="H59" s="264"/>
      <c r="I59" s="153" t="e">
        <f t="shared" ref="I59" si="10">AVERAGE(G59:H59)</f>
        <v>#DIV/0!</v>
      </c>
      <c r="J59" s="146" t="e">
        <f t="shared" si="9"/>
        <v>#DIV/0!</v>
      </c>
      <c r="K59" s="152" t="e">
        <f>I59-B59</f>
        <v>#DIV/0!</v>
      </c>
      <c r="L59" s="252" t="e">
        <f t="shared" si="8"/>
        <v>#DIV/0!</v>
      </c>
    </row>
    <row r="60" spans="1:13" ht="9.9499999999999993" customHeight="1" thickBot="1" x14ac:dyDescent="0.25">
      <c r="A60" s="92"/>
      <c r="L60" s="92"/>
    </row>
    <row r="61" spans="1:13" ht="35.1" customHeight="1" thickBot="1" x14ac:dyDescent="0.25">
      <c r="A61" s="157"/>
      <c r="B61" s="744" t="s">
        <v>62</v>
      </c>
      <c r="C61" s="745"/>
      <c r="D61" s="745"/>
      <c r="E61" s="745"/>
      <c r="F61" s="745"/>
      <c r="G61" s="745"/>
      <c r="H61" s="745"/>
      <c r="I61" s="780"/>
    </row>
    <row r="62" spans="1:13" ht="35.1" customHeight="1" thickBot="1" x14ac:dyDescent="0.25">
      <c r="A62" s="157"/>
      <c r="B62" s="469" t="s">
        <v>416</v>
      </c>
      <c r="C62" s="470"/>
      <c r="D62" s="471" t="s">
        <v>6</v>
      </c>
      <c r="E62" s="472"/>
      <c r="F62" s="471" t="s">
        <v>4</v>
      </c>
      <c r="G62" s="473"/>
      <c r="H62" s="474" t="s">
        <v>5</v>
      </c>
      <c r="I62" s="475"/>
      <c r="J62" s="87"/>
      <c r="K62" s="749"/>
      <c r="L62" s="750"/>
    </row>
    <row r="63" spans="1:13" ht="35.1" customHeight="1" thickBot="1" x14ac:dyDescent="0.25">
      <c r="A63" s="468"/>
      <c r="B63" s="468"/>
      <c r="C63" s="468"/>
      <c r="D63" s="468"/>
      <c r="E63" s="468"/>
      <c r="F63" s="468"/>
      <c r="G63" s="468"/>
      <c r="H63" s="468"/>
      <c r="I63" s="468"/>
      <c r="J63" s="468"/>
      <c r="K63" s="468"/>
      <c r="L63" s="468"/>
      <c r="M63" s="468"/>
    </row>
    <row r="64" spans="1:13" ht="35.1" customHeight="1" thickBot="1" x14ac:dyDescent="0.25">
      <c r="A64" s="157"/>
      <c r="B64" s="770" t="s">
        <v>411</v>
      </c>
      <c r="C64" s="771"/>
      <c r="D64" s="471" t="s">
        <v>6</v>
      </c>
      <c r="E64" s="476">
        <f>(E32+E62)/2</f>
        <v>0</v>
      </c>
      <c r="F64" s="471" t="s">
        <v>4</v>
      </c>
      <c r="G64" s="476">
        <f>(G32+G62)/2</f>
        <v>0</v>
      </c>
      <c r="H64" s="474" t="s">
        <v>5</v>
      </c>
      <c r="I64" s="476">
        <f>(I32+I62)/2</f>
        <v>0</v>
      </c>
      <c r="J64" s="477"/>
      <c r="K64" s="781" t="s">
        <v>385</v>
      </c>
      <c r="L64" s="782"/>
    </row>
    <row r="65" spans="1:15" ht="38.25" customHeight="1" thickBot="1" x14ac:dyDescent="0.25">
      <c r="A65" s="157"/>
      <c r="B65" s="770" t="s">
        <v>412</v>
      </c>
      <c r="C65" s="771"/>
      <c r="D65" s="471" t="s">
        <v>6</v>
      </c>
      <c r="E65" s="483">
        <f>E64+(0.0177*E64-0.4403)</f>
        <v>-0.44030000000000002</v>
      </c>
      <c r="F65" s="471" t="s">
        <v>4</v>
      </c>
      <c r="G65" s="484">
        <f>G64+(0.0421*G64+3.0128)</f>
        <v>3.0127999999999999</v>
      </c>
      <c r="H65" s="474" t="s">
        <v>5</v>
      </c>
      <c r="I65" s="483">
        <f>I64+(0.001*I64-1.3938)</f>
        <v>-1.3937999999999999</v>
      </c>
      <c r="J65" s="477"/>
      <c r="K65" s="478" t="e">
        <f>VLOOKUP($K$62,DATOS!$D$158:$H$162,2,FALSE)</f>
        <v>#N/A</v>
      </c>
      <c r="L65" s="240"/>
    </row>
    <row r="66" spans="1:15" ht="21.75" customHeight="1" thickBot="1" x14ac:dyDescent="0.25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1:15" ht="35.1" customHeight="1" thickBot="1" x14ac:dyDescent="0.25">
      <c r="A67" s="698" t="s">
        <v>34</v>
      </c>
      <c r="B67" s="699"/>
      <c r="C67" s="699"/>
      <c r="D67" s="699"/>
      <c r="E67" s="699"/>
      <c r="F67" s="699"/>
      <c r="G67" s="699"/>
      <c r="H67" s="699"/>
      <c r="I67" s="699"/>
      <c r="J67" s="699"/>
      <c r="K67" s="699"/>
      <c r="L67" s="700"/>
    </row>
    <row r="68" spans="1:15" s="140" customFormat="1" ht="9.9499999999999993" customHeight="1" thickBot="1" x14ac:dyDescent="0.25"/>
    <row r="69" spans="1:15" ht="35.1" customHeight="1" thickBot="1" x14ac:dyDescent="0.25">
      <c r="B69" s="87"/>
      <c r="C69" s="87"/>
      <c r="D69" s="87"/>
      <c r="E69" s="87"/>
      <c r="F69" s="767" t="s">
        <v>28</v>
      </c>
      <c r="G69" s="768"/>
      <c r="H69" s="768"/>
      <c r="I69" s="768"/>
      <c r="J69" s="769"/>
      <c r="K69" s="87"/>
    </row>
    <row r="70" spans="1:15" s="93" customFormat="1" ht="35.1" customHeight="1" x14ac:dyDescent="0.2">
      <c r="D70" s="159"/>
      <c r="F70" s="160" t="e">
        <f>G21</f>
        <v>#N/A</v>
      </c>
      <c r="G70" s="160" t="e">
        <f>G22</f>
        <v>#N/A</v>
      </c>
      <c r="H70" s="160" t="e">
        <f>G23</f>
        <v>#N/A</v>
      </c>
      <c r="I70" s="160" t="e">
        <f>G24</f>
        <v>#N/A</v>
      </c>
      <c r="J70" s="160" t="e">
        <f>G25</f>
        <v>#N/A</v>
      </c>
      <c r="K70" s="87"/>
      <c r="L70" s="87"/>
      <c r="M70" s="87"/>
      <c r="N70" s="87"/>
      <c r="O70" s="87"/>
    </row>
    <row r="71" spans="1:15" s="140" customFormat="1" ht="9.9499999999999993" customHeight="1" thickBot="1" x14ac:dyDescent="0.25">
      <c r="L71" s="87"/>
      <c r="M71" s="87"/>
      <c r="N71" s="87"/>
      <c r="O71" s="87"/>
    </row>
    <row r="72" spans="1:15" ht="35.1" customHeight="1" thickBot="1" x14ac:dyDescent="0.25">
      <c r="B72" s="781" t="s">
        <v>33</v>
      </c>
      <c r="C72" s="793"/>
      <c r="D72" s="782"/>
      <c r="E72" s="140"/>
      <c r="F72" s="698" t="s">
        <v>50</v>
      </c>
      <c r="G72" s="699"/>
      <c r="H72" s="699"/>
      <c r="I72" s="699"/>
      <c r="J72" s="699"/>
      <c r="K72" s="161" t="s">
        <v>27</v>
      </c>
      <c r="L72" s="162" t="s">
        <v>119</v>
      </c>
    </row>
    <row r="73" spans="1:15" ht="35.1" customHeight="1" x14ac:dyDescent="0.2">
      <c r="A73" s="740" t="s">
        <v>21</v>
      </c>
      <c r="B73" s="772"/>
      <c r="C73" s="772"/>
      <c r="D73" s="772"/>
      <c r="E73" s="773"/>
      <c r="F73" s="396" t="e">
        <f>(J55*$C$39)/(2*$G$34*SQRT(3))</f>
        <v>#DIV/0!</v>
      </c>
      <c r="G73" s="396" t="e">
        <f>(J56*$C$39)/(2*$G$34*SQRT(3))</f>
        <v>#DIV/0!</v>
      </c>
      <c r="H73" s="396" t="e">
        <f>(J57*$C$39)/(2*$G$34*SQRT(3))</f>
        <v>#DIV/0!</v>
      </c>
      <c r="I73" s="396" t="e">
        <f>(J58*$C$39)/(2*$G$34*SQRT(3))</f>
        <v>#DIV/0!</v>
      </c>
      <c r="J73" s="396" t="e">
        <f>(J59*$C$39)/(2*$G$34*SQRT(3))</f>
        <v>#DIV/0!</v>
      </c>
      <c r="K73" s="164" t="s">
        <v>52</v>
      </c>
      <c r="L73" s="485">
        <v>100</v>
      </c>
    </row>
    <row r="74" spans="1:15" ht="35.1" customHeight="1" x14ac:dyDescent="0.2">
      <c r="A74" s="740" t="s">
        <v>22</v>
      </c>
      <c r="B74" s="741"/>
      <c r="C74" s="774"/>
      <c r="D74" s="774"/>
      <c r="E74" s="775"/>
      <c r="F74" s="163" t="e">
        <f>$F$48/SQRT($K$43)</f>
        <v>#DIV/0!</v>
      </c>
      <c r="G74" s="163" t="e">
        <f t="shared" ref="G74:J74" si="11">$F$48/SQRT($K$43)</f>
        <v>#DIV/0!</v>
      </c>
      <c r="H74" s="163" t="e">
        <f t="shared" si="11"/>
        <v>#DIV/0!</v>
      </c>
      <c r="I74" s="163" t="e">
        <f t="shared" si="11"/>
        <v>#DIV/0!</v>
      </c>
      <c r="J74" s="163" t="e">
        <f t="shared" si="11"/>
        <v>#DIV/0!</v>
      </c>
      <c r="K74" s="165" t="s">
        <v>53</v>
      </c>
      <c r="L74" s="486">
        <f>K43-1</f>
        <v>9</v>
      </c>
    </row>
    <row r="75" spans="1:15" ht="35.1" customHeight="1" x14ac:dyDescent="0.2">
      <c r="A75" s="740" t="s">
        <v>24</v>
      </c>
      <c r="B75" s="741"/>
      <c r="C75" s="800"/>
      <c r="D75" s="800"/>
      <c r="E75" s="800"/>
      <c r="F75" s="163" t="e">
        <f>($D$14*1000)/SQRT(6)</f>
        <v>#N/A</v>
      </c>
      <c r="G75" s="163" t="e">
        <f>($D$14*1000)/SQRT(6)</f>
        <v>#N/A</v>
      </c>
      <c r="H75" s="163" t="e">
        <f>($D$14*1000)/SQRT(6)</f>
        <v>#N/A</v>
      </c>
      <c r="I75" s="163" t="e">
        <f t="shared" ref="I75:J75" si="12">($D$14*1000)/SQRT(6)</f>
        <v>#N/A</v>
      </c>
      <c r="J75" s="163" t="e">
        <f t="shared" si="12"/>
        <v>#N/A</v>
      </c>
      <c r="K75" s="165" t="s">
        <v>52</v>
      </c>
      <c r="L75" s="486">
        <v>100</v>
      </c>
    </row>
    <row r="76" spans="1:15" ht="35.1" customHeight="1" thickBot="1" x14ac:dyDescent="0.25">
      <c r="A76" s="148"/>
      <c r="B76" s="148"/>
      <c r="C76" s="802"/>
      <c r="D76" s="803"/>
      <c r="E76" s="804"/>
      <c r="F76" s="166" t="e">
        <f>SQRT((F73)^2+(F74)^2+(F75)^2)</f>
        <v>#DIV/0!</v>
      </c>
      <c r="G76" s="166" t="e">
        <f t="shared" ref="G76:J76" si="13">SQRT((G73)^2+(G74)^2+(G75)^2)</f>
        <v>#DIV/0!</v>
      </c>
      <c r="H76" s="166" t="e">
        <f t="shared" si="13"/>
        <v>#DIV/0!</v>
      </c>
      <c r="I76" s="166" t="e">
        <f t="shared" si="13"/>
        <v>#DIV/0!</v>
      </c>
      <c r="J76" s="166" t="e">
        <f t="shared" si="13"/>
        <v>#DIV/0!</v>
      </c>
      <c r="K76" s="165" t="s">
        <v>53</v>
      </c>
      <c r="L76" s="93"/>
    </row>
    <row r="77" spans="1:15" ht="35.1" customHeight="1" thickBot="1" x14ac:dyDescent="0.25">
      <c r="A77" s="148"/>
      <c r="B77" s="148"/>
      <c r="C77" s="148"/>
      <c r="D77" s="148"/>
      <c r="F77" s="698" t="s">
        <v>116</v>
      </c>
      <c r="G77" s="699"/>
      <c r="H77" s="699"/>
      <c r="I77" s="699"/>
      <c r="J77" s="700"/>
      <c r="K77" s="87"/>
    </row>
    <row r="78" spans="1:15" ht="35.1" customHeight="1" x14ac:dyDescent="0.2">
      <c r="A78" s="740" t="s">
        <v>25</v>
      </c>
      <c r="B78" s="741"/>
      <c r="C78" s="737"/>
      <c r="D78" s="737"/>
      <c r="E78" s="738"/>
      <c r="F78" s="167" t="e">
        <f>I21/L32</f>
        <v>#N/A</v>
      </c>
      <c r="G78" s="167" t="e">
        <f>I22/L32</f>
        <v>#N/A</v>
      </c>
      <c r="H78" s="167" t="e">
        <f>I23/L32</f>
        <v>#N/A</v>
      </c>
      <c r="I78" s="167" t="e">
        <f>I24/L32</f>
        <v>#N/A</v>
      </c>
      <c r="J78" s="167" t="e">
        <f>I25/L32</f>
        <v>#N/A</v>
      </c>
      <c r="K78" s="146" t="s">
        <v>53</v>
      </c>
      <c r="L78" s="486">
        <v>100</v>
      </c>
    </row>
    <row r="79" spans="1:15" ht="35.1" customHeight="1" x14ac:dyDescent="0.2">
      <c r="A79" s="742" t="s">
        <v>26</v>
      </c>
      <c r="B79" s="742"/>
      <c r="C79" s="737"/>
      <c r="D79" s="737"/>
      <c r="E79" s="738"/>
      <c r="F79" s="168" t="e">
        <f>(3*I21)/(4*SQRT(3))</f>
        <v>#N/A</v>
      </c>
      <c r="G79" s="168" t="e">
        <f>(3*I22)/(4*SQRT(3))</f>
        <v>#N/A</v>
      </c>
      <c r="H79" s="168" t="e">
        <f>(3*I23)/(4*SQRT(3))</f>
        <v>#N/A</v>
      </c>
      <c r="I79" s="168" t="e">
        <f>(3*I24)/(4*SQRT(3))</f>
        <v>#N/A</v>
      </c>
      <c r="J79" s="168" t="e">
        <f>(3*I25)/(4*SQRT(3))</f>
        <v>#N/A</v>
      </c>
      <c r="K79" s="146" t="s">
        <v>52</v>
      </c>
      <c r="L79" s="485">
        <v>100</v>
      </c>
    </row>
    <row r="80" spans="1:15" ht="35.1" customHeight="1" x14ac:dyDescent="0.2">
      <c r="A80" s="740" t="s">
        <v>32</v>
      </c>
      <c r="B80" s="741"/>
      <c r="C80" s="737"/>
      <c r="D80" s="737"/>
      <c r="E80" s="738"/>
      <c r="F80" s="168" t="e">
        <f>I21/SQRT(3)</f>
        <v>#N/A</v>
      </c>
      <c r="G80" s="168" t="e">
        <f>I22/SQRT(3)</f>
        <v>#N/A</v>
      </c>
      <c r="H80" s="168" t="e">
        <f>I23/SQRT(3)</f>
        <v>#N/A</v>
      </c>
      <c r="I80" s="168" t="e">
        <f>I24/SQRT(3)</f>
        <v>#N/A</v>
      </c>
      <c r="J80" s="168" t="e">
        <f>I25/SQRT(3)</f>
        <v>#N/A</v>
      </c>
      <c r="K80" s="146" t="s">
        <v>52</v>
      </c>
      <c r="L80" s="486">
        <v>100</v>
      </c>
    </row>
    <row r="81" spans="1:12" ht="35.1" customHeight="1" thickBot="1" x14ac:dyDescent="0.25">
      <c r="C81" s="739"/>
      <c r="D81" s="739"/>
      <c r="E81" s="739"/>
      <c r="F81" s="169" t="e">
        <f>SQRT(F78^2+F79^2+F80^2)</f>
        <v>#N/A</v>
      </c>
      <c r="G81" s="169" t="e">
        <f t="shared" ref="G81:J81" si="14">SQRT(G78^2+G79^2+G80^2)</f>
        <v>#N/A</v>
      </c>
      <c r="H81" s="169" t="e">
        <f t="shared" si="14"/>
        <v>#N/A</v>
      </c>
      <c r="I81" s="169" t="e">
        <f t="shared" si="14"/>
        <v>#N/A</v>
      </c>
      <c r="J81" s="169" t="e">
        <f t="shared" si="14"/>
        <v>#N/A</v>
      </c>
      <c r="K81" s="146" t="s">
        <v>53</v>
      </c>
      <c r="L81" s="487"/>
    </row>
    <row r="82" spans="1:12" ht="35.1" customHeight="1" thickBot="1" x14ac:dyDescent="0.25">
      <c r="C82" s="87"/>
      <c r="D82" s="87"/>
      <c r="F82" s="698" t="s">
        <v>115</v>
      </c>
      <c r="G82" s="699"/>
      <c r="H82" s="699"/>
      <c r="I82" s="699"/>
      <c r="J82" s="700"/>
      <c r="K82" s="87"/>
    </row>
    <row r="83" spans="1:12" ht="35.1" customHeight="1" thickBot="1" x14ac:dyDescent="0.25">
      <c r="B83" s="87"/>
      <c r="C83" s="170"/>
      <c r="D83" s="171"/>
      <c r="E83" s="172"/>
      <c r="F83" s="173" t="e">
        <f>SQRT((F76)^2+(F81)^2)</f>
        <v>#DIV/0!</v>
      </c>
      <c r="G83" s="174" t="e">
        <f t="shared" ref="G83:J83" si="15">SQRT((G76)^2+(G81)^2)</f>
        <v>#DIV/0!</v>
      </c>
      <c r="H83" s="174" t="e">
        <f t="shared" si="15"/>
        <v>#DIV/0!</v>
      </c>
      <c r="I83" s="174" t="e">
        <f t="shared" si="15"/>
        <v>#DIV/0!</v>
      </c>
      <c r="J83" s="175" t="e">
        <f t="shared" si="15"/>
        <v>#DIV/0!</v>
      </c>
      <c r="K83" s="87"/>
    </row>
    <row r="84" spans="1:12" s="93" customFormat="1" ht="9.9499999999999993" customHeight="1" thickBot="1" x14ac:dyDescent="0.25">
      <c r="A84" s="176"/>
      <c r="B84" s="176"/>
      <c r="D84" s="157"/>
    </row>
    <row r="85" spans="1:12" s="140" customFormat="1" ht="35.1" customHeight="1" thickBot="1" x14ac:dyDescent="0.25">
      <c r="F85" s="787" t="s">
        <v>29</v>
      </c>
      <c r="G85" s="788"/>
      <c r="H85" s="788"/>
      <c r="I85" s="788"/>
      <c r="J85" s="789"/>
    </row>
    <row r="86" spans="1:12" ht="35.1" customHeight="1" x14ac:dyDescent="0.2">
      <c r="B86" s="87"/>
      <c r="C86" s="177"/>
      <c r="D86" s="177"/>
      <c r="F86" s="778" t="s">
        <v>58</v>
      </c>
      <c r="G86" s="778"/>
      <c r="H86" s="778"/>
      <c r="I86" s="778"/>
      <c r="J86" s="778"/>
    </row>
    <row r="87" spans="1:12" ht="35.1" customHeight="1" x14ac:dyDescent="0.2">
      <c r="A87" s="732" t="s">
        <v>109</v>
      </c>
      <c r="B87" s="733"/>
      <c r="C87" s="733"/>
      <c r="D87" s="735"/>
      <c r="E87" s="736"/>
      <c r="F87" s="178">
        <v>100</v>
      </c>
      <c r="G87" s="178">
        <v>100</v>
      </c>
      <c r="H87" s="178">
        <v>100</v>
      </c>
      <c r="I87" s="178">
        <v>100</v>
      </c>
      <c r="J87" s="178">
        <v>100</v>
      </c>
    </row>
    <row r="88" spans="1:12" ht="35.1" customHeight="1" x14ac:dyDescent="0.2">
      <c r="A88" s="732" t="s">
        <v>110</v>
      </c>
      <c r="B88" s="733"/>
      <c r="C88" s="733"/>
      <c r="D88" s="735"/>
      <c r="E88" s="736"/>
      <c r="F88" s="179">
        <f>$K$43-1</f>
        <v>9</v>
      </c>
      <c r="G88" s="178">
        <f t="shared" ref="G88:J88" si="16">$K$43-1</f>
        <v>9</v>
      </c>
      <c r="H88" s="178">
        <f t="shared" si="16"/>
        <v>9</v>
      </c>
      <c r="I88" s="178">
        <f t="shared" si="16"/>
        <v>9</v>
      </c>
      <c r="J88" s="178">
        <f t="shared" si="16"/>
        <v>9</v>
      </c>
    </row>
    <row r="89" spans="1:12" ht="35.1" customHeight="1" x14ac:dyDescent="0.2">
      <c r="A89" s="732" t="s">
        <v>111</v>
      </c>
      <c r="B89" s="733"/>
      <c r="C89" s="733"/>
      <c r="D89" s="735"/>
      <c r="E89" s="736"/>
      <c r="F89" s="179">
        <v>100</v>
      </c>
      <c r="G89" s="178">
        <v>100</v>
      </c>
      <c r="H89" s="178">
        <v>100</v>
      </c>
      <c r="I89" s="178">
        <v>100</v>
      </c>
      <c r="J89" s="178">
        <v>100</v>
      </c>
    </row>
    <row r="90" spans="1:12" ht="50.1" customHeight="1" thickBot="1" x14ac:dyDescent="0.25">
      <c r="B90" s="180"/>
      <c r="C90" s="181"/>
      <c r="D90" s="172"/>
      <c r="E90" s="182"/>
      <c r="F90" s="183" t="e">
        <f>F76^4/(F73^4/100+(F74^4/(K43-1))+(F75^4/100))</f>
        <v>#DIV/0!</v>
      </c>
      <c r="G90" s="184" t="e">
        <f>G76^4/(G73^4/100+(G74^4/(K43-1))+(G75^4/100))</f>
        <v>#DIV/0!</v>
      </c>
      <c r="H90" s="184" t="e">
        <f>H76^4/(H73^4/100+(H74^4/(K43-1))+(H75^4/100))</f>
        <v>#DIV/0!</v>
      </c>
      <c r="I90" s="184" t="e">
        <f>I76^4/(I73^4/100+(I74^4/(K43-1))+(I75^4/100))</f>
        <v>#DIV/0!</v>
      </c>
      <c r="J90" s="184" t="e">
        <f>J76^4/(J73^4/100+(J74^4/(K43-1))+(J75^4/100))</f>
        <v>#DIV/0!</v>
      </c>
    </row>
    <row r="91" spans="1:12" ht="35.1" customHeight="1" thickBot="1" x14ac:dyDescent="0.25">
      <c r="B91" s="87"/>
      <c r="C91" s="126"/>
      <c r="D91" s="126"/>
      <c r="E91" s="126"/>
      <c r="F91" s="797" t="s">
        <v>57</v>
      </c>
      <c r="G91" s="798"/>
      <c r="H91" s="798"/>
      <c r="I91" s="798"/>
      <c r="J91" s="799"/>
      <c r="K91" s="87"/>
    </row>
    <row r="92" spans="1:12" ht="35.1" customHeight="1" x14ac:dyDescent="0.2">
      <c r="A92" s="732" t="s">
        <v>112</v>
      </c>
      <c r="B92" s="733"/>
      <c r="C92" s="733"/>
      <c r="D92" s="800"/>
      <c r="E92" s="801"/>
      <c r="F92" s="185">
        <v>100</v>
      </c>
      <c r="G92" s="186">
        <v>100</v>
      </c>
      <c r="H92" s="186">
        <v>100</v>
      </c>
      <c r="I92" s="186">
        <v>100</v>
      </c>
      <c r="J92" s="186">
        <v>100</v>
      </c>
      <c r="K92" s="87"/>
    </row>
    <row r="93" spans="1:12" ht="35.1" customHeight="1" x14ac:dyDescent="0.2">
      <c r="A93" s="732" t="s">
        <v>113</v>
      </c>
      <c r="B93" s="733"/>
      <c r="C93" s="733"/>
      <c r="D93" s="800"/>
      <c r="E93" s="801"/>
      <c r="F93" s="179">
        <v>100</v>
      </c>
      <c r="G93" s="178">
        <v>100</v>
      </c>
      <c r="H93" s="178">
        <v>100</v>
      </c>
      <c r="I93" s="178">
        <v>100</v>
      </c>
      <c r="J93" s="178">
        <v>100</v>
      </c>
      <c r="K93" s="87"/>
    </row>
    <row r="94" spans="1:12" ht="35.1" customHeight="1" x14ac:dyDescent="0.2">
      <c r="A94" s="732" t="s">
        <v>114</v>
      </c>
      <c r="B94" s="733"/>
      <c r="C94" s="733"/>
      <c r="D94" s="800"/>
      <c r="E94" s="801"/>
      <c r="F94" s="179">
        <v>100</v>
      </c>
      <c r="G94" s="178">
        <v>100</v>
      </c>
      <c r="H94" s="178">
        <v>100</v>
      </c>
      <c r="I94" s="178">
        <v>100</v>
      </c>
      <c r="J94" s="178">
        <v>100</v>
      </c>
      <c r="K94" s="87"/>
    </row>
    <row r="95" spans="1:12" ht="50.1" customHeight="1" thickBot="1" x14ac:dyDescent="0.25">
      <c r="B95" s="734"/>
      <c r="C95" s="734"/>
      <c r="D95" s="734"/>
      <c r="E95" s="734"/>
      <c r="F95" s="184" t="e">
        <f>F81^4/((F78^4/100)+(F79^4/100)+(F80^4/100))</f>
        <v>#N/A</v>
      </c>
      <c r="G95" s="184" t="e">
        <f>G81^4/((G78^4/100)+(G79^4/100)+(G80^4/100))</f>
        <v>#N/A</v>
      </c>
      <c r="H95" s="184" t="e">
        <f>H81^4/((H78^4/100)+(H79^4/100)+(H80^4/100))</f>
        <v>#N/A</v>
      </c>
      <c r="I95" s="184" t="e">
        <f>I81^4/((I78^4/100)+(I79^4/100)+(I80^4/100))</f>
        <v>#N/A</v>
      </c>
      <c r="J95" s="184" t="e">
        <f>J81^4/((J78^4/100)+(J79^4/100)+(J80^4/100))</f>
        <v>#N/A</v>
      </c>
      <c r="K95" s="87"/>
    </row>
    <row r="96" spans="1:12" ht="35.1" customHeight="1" thickBot="1" x14ac:dyDescent="0.25">
      <c r="B96" s="87"/>
      <c r="C96" s="87"/>
      <c r="D96" s="87"/>
      <c r="E96" s="87"/>
      <c r="F96" s="764" t="s">
        <v>30</v>
      </c>
      <c r="G96" s="765"/>
      <c r="H96" s="765"/>
      <c r="I96" s="765"/>
      <c r="J96" s="766"/>
      <c r="K96" s="87"/>
    </row>
    <row r="97" spans="1:13" ht="50.1" customHeight="1" x14ac:dyDescent="0.2">
      <c r="B97" s="93"/>
      <c r="C97" s="753"/>
      <c r="D97" s="737"/>
      <c r="E97" s="738"/>
      <c r="F97" s="187" t="e">
        <f>F83^4/((F76^4/F90)+(F81^4/F95))</f>
        <v>#DIV/0!</v>
      </c>
      <c r="G97" s="188" t="e">
        <f>G83^4/((G76^4/G90)+(G81^4/G95))</f>
        <v>#DIV/0!</v>
      </c>
      <c r="H97" s="188" t="e">
        <f>H83^4/((H76^4/H90)+(H81^4/H95))</f>
        <v>#DIV/0!</v>
      </c>
      <c r="I97" s="188" t="e">
        <f>I83^4/((I76^4/I90)+(I81^4/I95))</f>
        <v>#DIV/0!</v>
      </c>
      <c r="J97" s="188" t="e">
        <f>J83^4/((J76^4/J90)+(J81^4/J95))</f>
        <v>#DIV/0!</v>
      </c>
      <c r="K97" s="87"/>
    </row>
    <row r="98" spans="1:13" s="93" customFormat="1" ht="9.9499999999999993" customHeight="1" thickBot="1" x14ac:dyDescent="0.25">
      <c r="B98" s="176"/>
      <c r="C98" s="176"/>
      <c r="E98" s="157"/>
    </row>
    <row r="99" spans="1:13" ht="35.1" customHeight="1" thickBot="1" x14ac:dyDescent="0.25">
      <c r="B99" s="87"/>
      <c r="C99" s="87"/>
      <c r="D99" s="87"/>
      <c r="E99" s="87"/>
      <c r="F99" s="764" t="s">
        <v>31</v>
      </c>
      <c r="G99" s="765"/>
      <c r="H99" s="765"/>
      <c r="I99" s="765"/>
      <c r="J99" s="766"/>
      <c r="K99" s="87"/>
    </row>
    <row r="100" spans="1:13" ht="35.1" customHeight="1" x14ac:dyDescent="0.2">
      <c r="B100" s="180"/>
      <c r="C100" s="189"/>
      <c r="D100" s="181"/>
      <c r="E100" s="190"/>
      <c r="F100" s="191" t="e">
        <f>_xlfn.T.INV.2T(100%-$I$102,F97)</f>
        <v>#DIV/0!</v>
      </c>
      <c r="G100" s="191" t="e">
        <f>_xlfn.T.INV.2T(100%-$I$102,G97)</f>
        <v>#DIV/0!</v>
      </c>
      <c r="H100" s="191" t="e">
        <f>_xlfn.T.INV.2T(100%-$I$102,H97)</f>
        <v>#DIV/0!</v>
      </c>
      <c r="I100" s="191" t="e">
        <f>_xlfn.T.INV.2T(100%-$I$102,I97)</f>
        <v>#DIV/0!</v>
      </c>
      <c r="J100" s="191" t="e">
        <f>_xlfn.T.INV.2T(100%-$I$102,J97)</f>
        <v>#DIV/0!</v>
      </c>
      <c r="K100" s="87"/>
    </row>
    <row r="101" spans="1:13" ht="9.9499999999999993" customHeight="1" thickBot="1" x14ac:dyDescent="0.25">
      <c r="K101" s="87"/>
    </row>
    <row r="102" spans="1:13" ht="35.1" customHeight="1" thickBot="1" x14ac:dyDescent="0.25">
      <c r="F102" s="794" t="s">
        <v>59</v>
      </c>
      <c r="G102" s="795"/>
      <c r="H102" s="796"/>
      <c r="I102" s="192">
        <f>DATOS!N7</f>
        <v>0</v>
      </c>
      <c r="L102" s="92"/>
    </row>
    <row r="103" spans="1:13" s="140" customFormat="1" ht="9.9499999999999993" customHeight="1" thickBot="1" x14ac:dyDescent="0.25">
      <c r="F103" s="193"/>
      <c r="G103" s="193"/>
      <c r="H103" s="193"/>
      <c r="I103" s="194"/>
      <c r="J103" s="194"/>
    </row>
    <row r="104" spans="1:13" s="140" customFormat="1" ht="35.1" customHeight="1" thickBot="1" x14ac:dyDescent="0.25">
      <c r="B104" s="751" t="s">
        <v>408</v>
      </c>
      <c r="C104" s="752"/>
      <c r="D104" s="752"/>
      <c r="E104" s="466"/>
      <c r="F104" s="465" t="e">
        <f>F83*F100</f>
        <v>#DIV/0!</v>
      </c>
      <c r="G104" s="195" t="e">
        <f>G83*G100</f>
        <v>#DIV/0!</v>
      </c>
      <c r="H104" s="195" t="e">
        <f>H83*H100</f>
        <v>#DIV/0!</v>
      </c>
      <c r="I104" s="195" t="e">
        <f>I83*I100</f>
        <v>#DIV/0!</v>
      </c>
      <c r="J104" s="250" t="e">
        <f>J83*J100</f>
        <v>#DIV/0!</v>
      </c>
    </row>
    <row r="105" spans="1:13" s="140" customFormat="1" ht="35.1" customHeight="1" thickBot="1" x14ac:dyDescent="0.25">
      <c r="B105" s="751" t="s">
        <v>409</v>
      </c>
      <c r="C105" s="752"/>
      <c r="D105" s="752"/>
      <c r="E105" s="466"/>
      <c r="F105" s="467" t="e">
        <f>F104/1000</f>
        <v>#DIV/0!</v>
      </c>
      <c r="G105" s="464" t="e">
        <f t="shared" ref="G105:J105" si="17">G104/1000</f>
        <v>#DIV/0!</v>
      </c>
      <c r="H105" s="464" t="e">
        <f t="shared" si="17"/>
        <v>#DIV/0!</v>
      </c>
      <c r="I105" s="463" t="e">
        <f t="shared" si="17"/>
        <v>#DIV/0!</v>
      </c>
      <c r="J105" s="463" t="e">
        <f t="shared" si="17"/>
        <v>#DIV/0!</v>
      </c>
    </row>
    <row r="106" spans="1:13" s="140" customFormat="1" ht="33" customHeight="1" thickBot="1" x14ac:dyDescent="0.25">
      <c r="E106" s="193"/>
      <c r="F106" s="193"/>
      <c r="G106" s="193"/>
      <c r="H106" s="194"/>
      <c r="I106" s="194"/>
      <c r="J106" s="196"/>
      <c r="K106" s="196"/>
      <c r="L106" s="196"/>
      <c r="M106" s="196"/>
    </row>
    <row r="107" spans="1:13" s="140" customFormat="1" ht="35.1" customHeight="1" thickBot="1" x14ac:dyDescent="0.25">
      <c r="A107" s="764" t="s">
        <v>35</v>
      </c>
      <c r="B107" s="765"/>
      <c r="C107" s="765"/>
      <c r="D107" s="765"/>
      <c r="E107" s="765"/>
      <c r="F107" s="765"/>
      <c r="G107" s="766"/>
      <c r="I107" s="760" t="s">
        <v>125</v>
      </c>
      <c r="J107" s="761"/>
      <c r="K107" s="762"/>
    </row>
    <row r="108" spans="1:13" s="140" customFormat="1" ht="35.1" customHeight="1" x14ac:dyDescent="0.2">
      <c r="A108" s="197" t="s">
        <v>37</v>
      </c>
      <c r="B108" s="197" t="s">
        <v>38</v>
      </c>
      <c r="C108" s="197" t="s">
        <v>170</v>
      </c>
      <c r="D108" s="197" t="s">
        <v>171</v>
      </c>
      <c r="E108" s="198" t="s">
        <v>41</v>
      </c>
      <c r="F108" s="199"/>
      <c r="G108" s="763" t="s">
        <v>172</v>
      </c>
      <c r="I108" s="757"/>
      <c r="J108" s="758"/>
      <c r="K108" s="759"/>
    </row>
    <row r="109" spans="1:13" s="140" customFormat="1" ht="35.1" customHeight="1" x14ac:dyDescent="0.2">
      <c r="A109" s="200"/>
      <c r="B109" s="200"/>
      <c r="C109" s="200"/>
      <c r="D109" s="200"/>
      <c r="E109" s="201"/>
      <c r="F109" s="202"/>
      <c r="G109" s="763"/>
      <c r="I109" s="754"/>
      <c r="J109" s="755"/>
      <c r="K109" s="756"/>
    </row>
    <row r="110" spans="1:13" s="140" customFormat="1" ht="35.1" customHeight="1" x14ac:dyDescent="0.2">
      <c r="A110" s="203" t="e">
        <f>(1/F83)^2</f>
        <v>#DIV/0!</v>
      </c>
      <c r="B110" s="203" t="e">
        <f>A110*J55*L55</f>
        <v>#DIV/0!</v>
      </c>
      <c r="C110" s="203" t="e">
        <f>(J55)^2*A110</f>
        <v>#DIV/0!</v>
      </c>
      <c r="D110" s="203" t="e">
        <f>((($B$118*$E$119)+($B$119*(J55^2))))</f>
        <v>#DIV/0!</v>
      </c>
      <c r="E110" s="204" t="e">
        <f>SQRT($E$119+D110)</f>
        <v>#N/A</v>
      </c>
      <c r="F110" s="205"/>
      <c r="G110" s="206" t="e">
        <f>A110*($B$117*J55-L55)^2</f>
        <v>#DIV/0!</v>
      </c>
      <c r="I110" s="754"/>
      <c r="J110" s="755"/>
      <c r="K110" s="756"/>
    </row>
    <row r="111" spans="1:13" s="140" customFormat="1" ht="35.1" customHeight="1" x14ac:dyDescent="0.2">
      <c r="A111" s="203" t="e">
        <f>(1/G83)^2</f>
        <v>#DIV/0!</v>
      </c>
      <c r="B111" s="203" t="e">
        <f>A111*J56*L56</f>
        <v>#DIV/0!</v>
      </c>
      <c r="C111" s="203" t="e">
        <f>(J56)^2*A111</f>
        <v>#DIV/0!</v>
      </c>
      <c r="D111" s="203" t="e">
        <f>$B$118*$E$119+$B$119*J56^2</f>
        <v>#DIV/0!</v>
      </c>
      <c r="E111" s="204" t="e">
        <f>SQRT($E$119+D111)</f>
        <v>#N/A</v>
      </c>
      <c r="F111" s="207"/>
      <c r="G111" s="206" t="e">
        <f>A111*($B$117*J56-L56)^2</f>
        <v>#DIV/0!</v>
      </c>
      <c r="I111" s="754"/>
      <c r="J111" s="755"/>
      <c r="K111" s="756"/>
    </row>
    <row r="112" spans="1:13" s="140" customFormat="1" ht="35.1" customHeight="1" x14ac:dyDescent="0.2">
      <c r="A112" s="203" t="e">
        <f>(1/H83)^2</f>
        <v>#DIV/0!</v>
      </c>
      <c r="B112" s="203" t="e">
        <f>A112*J57*L57</f>
        <v>#DIV/0!</v>
      </c>
      <c r="C112" s="203" t="e">
        <f>(J57)^2*A112</f>
        <v>#DIV/0!</v>
      </c>
      <c r="D112" s="203" t="e">
        <f>$B$118*$E$119+$B$119*J57^2</f>
        <v>#DIV/0!</v>
      </c>
      <c r="E112" s="204" t="e">
        <f>SQRT($E$119+D112)</f>
        <v>#N/A</v>
      </c>
      <c r="F112" s="208"/>
      <c r="G112" s="206" t="e">
        <f>A112*($B$117*J57-L57)^2</f>
        <v>#DIV/0!</v>
      </c>
      <c r="I112" s="754"/>
      <c r="J112" s="755"/>
      <c r="K112" s="756"/>
    </row>
    <row r="113" spans="1:12" s="140" customFormat="1" ht="35.1" customHeight="1" x14ac:dyDescent="0.2">
      <c r="A113" s="203" t="e">
        <f>(1/I83)^2</f>
        <v>#DIV/0!</v>
      </c>
      <c r="B113" s="203" t="e">
        <f>A113*J58*L58</f>
        <v>#DIV/0!</v>
      </c>
      <c r="C113" s="203" t="e">
        <f>(J58)^2*A113</f>
        <v>#DIV/0!</v>
      </c>
      <c r="D113" s="203" t="e">
        <f>$B$118*$E$119+$B$119*J58^2</f>
        <v>#DIV/0!</v>
      </c>
      <c r="E113" s="204" t="e">
        <f>SQRT($E$119+D113)</f>
        <v>#N/A</v>
      </c>
      <c r="F113" s="207"/>
      <c r="G113" s="206" t="e">
        <f>A113*($B$117*J58-L58)^2</f>
        <v>#DIV/0!</v>
      </c>
      <c r="I113" s="754"/>
      <c r="J113" s="755"/>
      <c r="K113" s="756"/>
    </row>
    <row r="114" spans="1:12" s="140" customFormat="1" ht="35.1" customHeight="1" x14ac:dyDescent="0.2">
      <c r="A114" s="203" t="e">
        <f>(1/J83)^2</f>
        <v>#DIV/0!</v>
      </c>
      <c r="B114" s="203" t="e">
        <f>A114*J59*L59</f>
        <v>#DIV/0!</v>
      </c>
      <c r="C114" s="203" t="e">
        <f>(J59)^2*A114</f>
        <v>#DIV/0!</v>
      </c>
      <c r="D114" s="203" t="e">
        <f>$B$118*$E$119+$B$119*J59^2</f>
        <v>#DIV/0!</v>
      </c>
      <c r="E114" s="204" t="e">
        <f>SQRT($E$119+D114)</f>
        <v>#N/A</v>
      </c>
      <c r="F114" s="207"/>
      <c r="G114" s="206" t="e">
        <f>A114*($B$117*J59-L59)^2</f>
        <v>#DIV/0!</v>
      </c>
      <c r="I114" s="754"/>
      <c r="J114" s="755"/>
      <c r="K114" s="756"/>
    </row>
    <row r="115" spans="1:12" s="92" customFormat="1" ht="27" customHeight="1" x14ac:dyDescent="0.25">
      <c r="A115" s="246" t="s">
        <v>39</v>
      </c>
      <c r="B115" s="209" t="e">
        <f t="shared" ref="B115" si="18">SUM(B110:B114)</f>
        <v>#DIV/0!</v>
      </c>
      <c r="C115" s="209" t="e">
        <f>SUM(C110:C114)</f>
        <v>#DIV/0!</v>
      </c>
      <c r="D115" s="210"/>
      <c r="E115" s="211" t="s">
        <v>173</v>
      </c>
      <c r="F115" s="212"/>
      <c r="G115" s="213" t="e">
        <f>SUM(G110:G114)</f>
        <v>#DIV/0!</v>
      </c>
      <c r="I115" s="754"/>
      <c r="J115" s="755"/>
      <c r="K115" s="756"/>
    </row>
    <row r="116" spans="1:12" s="92" customFormat="1" ht="9.9499999999999993" customHeight="1" x14ac:dyDescent="0.2">
      <c r="B116" s="210"/>
      <c r="C116" s="210"/>
      <c r="D116" s="210"/>
      <c r="E116" s="210"/>
      <c r="F116" s="210"/>
      <c r="G116" s="210"/>
    </row>
    <row r="117" spans="1:12" ht="35.1" customHeight="1" x14ac:dyDescent="0.2">
      <c r="A117" s="214" t="s">
        <v>174</v>
      </c>
      <c r="B117" s="203" t="e">
        <f>(B115/C115)</f>
        <v>#DIV/0!</v>
      </c>
      <c r="F117" s="215" t="s">
        <v>44</v>
      </c>
      <c r="G117" s="492">
        <v>2</v>
      </c>
      <c r="I117" s="216"/>
      <c r="J117" s="216"/>
      <c r="K117" s="216"/>
    </row>
    <row r="118" spans="1:12" ht="35.1" customHeight="1" x14ac:dyDescent="0.2">
      <c r="A118" s="217" t="s">
        <v>175</v>
      </c>
      <c r="B118" s="218" t="e">
        <f>B117^2</f>
        <v>#DIV/0!</v>
      </c>
      <c r="C118" s="219" t="s">
        <v>176</v>
      </c>
      <c r="D118" s="212"/>
      <c r="E118" s="218" t="e">
        <f>F48^2</f>
        <v>#DIV/0!</v>
      </c>
      <c r="F118" s="220" t="s">
        <v>45</v>
      </c>
      <c r="G118" s="493">
        <f>G26</f>
        <v>3</v>
      </c>
      <c r="I118" s="221" t="e">
        <f>ABS(G115-G118)</f>
        <v>#DIV/0!</v>
      </c>
      <c r="J118" s="222" t="s">
        <v>40</v>
      </c>
      <c r="K118" s="491">
        <f>G117*SQRT(2*G118)</f>
        <v>4.8989794855663558</v>
      </c>
    </row>
    <row r="119" spans="1:12" ht="35.1" customHeight="1" x14ac:dyDescent="0.2">
      <c r="A119" s="223" t="s">
        <v>121</v>
      </c>
      <c r="B119" s="218" t="e">
        <f>1/C115</f>
        <v>#DIV/0!</v>
      </c>
      <c r="C119" s="247" t="s">
        <v>177</v>
      </c>
      <c r="D119" s="248"/>
      <c r="E119" s="218" t="e">
        <f>((D14*1000)^2)/6+E118</f>
        <v>#N/A</v>
      </c>
      <c r="F119" s="215" t="s">
        <v>65</v>
      </c>
      <c r="G119" s="155" t="e">
        <f>MAX(F100:J100)</f>
        <v>#DIV/0!</v>
      </c>
      <c r="I119" s="748" t="e">
        <f>IF(I118&lt;=K118,"APROBADO","NO APROBADO")</f>
        <v>#DIV/0!</v>
      </c>
      <c r="J119" s="748"/>
      <c r="K119" s="748"/>
    </row>
    <row r="120" spans="1:12" ht="9.9499999999999993" customHeight="1" thickBot="1" x14ac:dyDescent="0.25"/>
    <row r="121" spans="1:12" ht="35.1" customHeight="1" thickBot="1" x14ac:dyDescent="0.25">
      <c r="A121" s="790" t="s">
        <v>120</v>
      </c>
      <c r="B121" s="791"/>
      <c r="C121" s="791"/>
      <c r="D121" s="791"/>
      <c r="E121" s="791"/>
      <c r="F121" s="791"/>
      <c r="G121" s="791"/>
      <c r="H121" s="791"/>
      <c r="I121" s="791"/>
      <c r="J121" s="791"/>
      <c r="K121" s="791"/>
      <c r="L121" s="792"/>
    </row>
    <row r="122" spans="1:12" ht="35.1" customHeight="1" x14ac:dyDescent="0.2">
      <c r="C122" s="397" t="s">
        <v>42</v>
      </c>
      <c r="D122" s="398" t="e">
        <f>SLOPE(E110:E114,G21:G25)</f>
        <v>#N/A</v>
      </c>
      <c r="E122" s="785" t="s">
        <v>122</v>
      </c>
      <c r="F122" s="786"/>
      <c r="G122" s="399" t="s">
        <v>75</v>
      </c>
      <c r="H122" s="494">
        <v>5</v>
      </c>
      <c r="I122" s="87"/>
      <c r="K122" s="87"/>
    </row>
    <row r="123" spans="1:12" ht="35.1" customHeight="1" x14ac:dyDescent="0.2">
      <c r="C123" s="224" t="s">
        <v>43</v>
      </c>
      <c r="D123" s="153" t="e">
        <f>INTERCEPT(E110:E114,G21:G25)</f>
        <v>#N/A</v>
      </c>
      <c r="E123" s="783" t="s">
        <v>123</v>
      </c>
      <c r="F123" s="784"/>
      <c r="G123" s="224" t="s">
        <v>76</v>
      </c>
      <c r="H123" s="225" t="e">
        <f>D122*H122+D123</f>
        <v>#N/A</v>
      </c>
    </row>
    <row r="124" spans="1:12" ht="35.1" customHeight="1" x14ac:dyDescent="0.2">
      <c r="L124" s="92"/>
    </row>
    <row r="125" spans="1:12" ht="35.1" customHeight="1" x14ac:dyDescent="0.2">
      <c r="J125" s="120" t="s">
        <v>69</v>
      </c>
      <c r="K125" s="120" t="s">
        <v>70</v>
      </c>
    </row>
    <row r="126" spans="1:12" ht="35.1" customHeight="1" x14ac:dyDescent="0.2">
      <c r="J126" s="226" t="e">
        <f>G21</f>
        <v>#N/A</v>
      </c>
      <c r="K126" s="227" t="e">
        <f>E110</f>
        <v>#N/A</v>
      </c>
    </row>
    <row r="127" spans="1:12" ht="35.1" customHeight="1" x14ac:dyDescent="0.2">
      <c r="I127" s="100"/>
      <c r="J127" s="228" t="e">
        <f>G22</f>
        <v>#N/A</v>
      </c>
      <c r="K127" s="229" t="e">
        <f>E111</f>
        <v>#N/A</v>
      </c>
    </row>
    <row r="128" spans="1:12" ht="35.1" customHeight="1" x14ac:dyDescent="0.2">
      <c r="I128" s="100"/>
      <c r="J128" s="228" t="e">
        <f>G23</f>
        <v>#N/A</v>
      </c>
      <c r="K128" s="229" t="e">
        <f>E112</f>
        <v>#N/A</v>
      </c>
    </row>
    <row r="129" spans="1:20" ht="35.1" customHeight="1" x14ac:dyDescent="0.2">
      <c r="I129" s="100"/>
      <c r="J129" s="228" t="e">
        <f>G24</f>
        <v>#N/A</v>
      </c>
      <c r="K129" s="229" t="e">
        <f>E113</f>
        <v>#N/A</v>
      </c>
    </row>
    <row r="130" spans="1:20" ht="35.1" customHeight="1" x14ac:dyDescent="0.2">
      <c r="A130" s="230"/>
      <c r="I130" s="100"/>
      <c r="J130" s="228" t="e">
        <f>G25</f>
        <v>#N/A</v>
      </c>
      <c r="K130" s="231" t="e">
        <f>E114</f>
        <v>#N/A</v>
      </c>
    </row>
    <row r="131" spans="1:20" ht="35.1" customHeight="1" x14ac:dyDescent="0.2">
      <c r="A131" s="230"/>
      <c r="I131" s="100"/>
      <c r="J131" s="100"/>
      <c r="K131" s="100"/>
      <c r="L131" s="100"/>
    </row>
    <row r="132" spans="1:20" ht="9.9499999999999993" customHeight="1" x14ac:dyDescent="0.2">
      <c r="A132" s="230"/>
      <c r="I132" s="232"/>
      <c r="J132" s="232"/>
      <c r="K132" s="232"/>
      <c r="L132" s="232"/>
    </row>
    <row r="133" spans="1:20" s="92" customFormat="1" ht="35.1" customHeight="1" x14ac:dyDescent="0.2">
      <c r="B133" s="233" t="s">
        <v>178</v>
      </c>
      <c r="C133" s="234"/>
      <c r="D133" s="235" t="e">
        <f>B117*E118</f>
        <v>#DIV/0!</v>
      </c>
      <c r="E133" s="236" t="s">
        <v>71</v>
      </c>
      <c r="F133" s="234" t="s">
        <v>179</v>
      </c>
      <c r="G133" s="218" t="e">
        <f>B119</f>
        <v>#DIV/0!</v>
      </c>
      <c r="I133" s="100"/>
      <c r="J133" s="100"/>
      <c r="K133" s="100"/>
      <c r="L133" s="100"/>
      <c r="M133" s="87"/>
      <c r="N133" s="87"/>
      <c r="O133" s="87"/>
      <c r="P133" s="87"/>
      <c r="Q133" s="87"/>
      <c r="R133" s="87"/>
      <c r="S133" s="87"/>
      <c r="T133" s="87"/>
    </row>
    <row r="134" spans="1:20" s="92" customFormat="1" ht="9.9499999999999993" customHeight="1" thickBot="1" x14ac:dyDescent="0.25">
      <c r="A134" s="87"/>
      <c r="D134" s="237"/>
      <c r="E134" s="238"/>
      <c r="M134" s="87"/>
      <c r="N134" s="87"/>
      <c r="O134" s="87"/>
      <c r="P134" s="87"/>
      <c r="Q134" s="87"/>
      <c r="R134" s="87"/>
      <c r="S134" s="87"/>
      <c r="T134" s="87"/>
    </row>
    <row r="135" spans="1:20" ht="35.1" customHeight="1" thickBot="1" x14ac:dyDescent="0.25">
      <c r="A135" s="787" t="s">
        <v>73</v>
      </c>
      <c r="B135" s="788"/>
      <c r="C135" s="788"/>
      <c r="D135" s="788"/>
      <c r="E135" s="788"/>
      <c r="F135" s="788"/>
      <c r="G135" s="788"/>
      <c r="H135" s="788"/>
      <c r="I135" s="788"/>
      <c r="J135" s="788"/>
      <c r="K135" s="788"/>
      <c r="L135" s="789"/>
    </row>
    <row r="136" spans="1:20" ht="35.1" customHeight="1" x14ac:dyDescent="0.2">
      <c r="B136" s="747" t="s">
        <v>66</v>
      </c>
      <c r="C136" s="747"/>
      <c r="D136" s="747"/>
      <c r="E136" s="128" t="s">
        <v>152</v>
      </c>
      <c r="F136" s="400" t="e">
        <f>B117</f>
        <v>#DIV/0!</v>
      </c>
      <c r="G136" s="401" t="s">
        <v>72</v>
      </c>
      <c r="H136" s="87"/>
      <c r="K136" s="87"/>
    </row>
    <row r="137" spans="1:20" ht="9.9499999999999993" customHeight="1" x14ac:dyDescent="0.2">
      <c r="K137" s="87"/>
    </row>
    <row r="138" spans="1:20" ht="35.1" customHeight="1" x14ac:dyDescent="0.2">
      <c r="B138" s="728" t="s">
        <v>67</v>
      </c>
      <c r="C138" s="728"/>
      <c r="D138" s="728"/>
      <c r="E138" s="133" t="s">
        <v>74</v>
      </c>
      <c r="F138" s="253" t="e">
        <f>D123*G119</f>
        <v>#N/A</v>
      </c>
      <c r="G138" s="236" t="s">
        <v>71</v>
      </c>
      <c r="H138" s="254" t="e">
        <f>D122*G119</f>
        <v>#N/A</v>
      </c>
      <c r="I138" s="249" t="s">
        <v>72</v>
      </c>
      <c r="J138" s="87"/>
      <c r="K138" s="87"/>
    </row>
    <row r="139" spans="1:20" ht="35.1" customHeight="1" x14ac:dyDescent="0.2">
      <c r="B139" s="728" t="s">
        <v>67</v>
      </c>
      <c r="C139" s="728"/>
      <c r="D139" s="728"/>
      <c r="E139" s="133" t="s">
        <v>410</v>
      </c>
      <c r="F139" s="252" t="e">
        <f>F138/1000</f>
        <v>#N/A</v>
      </c>
      <c r="G139" s="236" t="s">
        <v>71</v>
      </c>
      <c r="H139" s="254" t="e">
        <f>H138</f>
        <v>#N/A</v>
      </c>
      <c r="I139" s="249" t="s">
        <v>72</v>
      </c>
      <c r="J139" s="87"/>
      <c r="K139" s="87"/>
    </row>
    <row r="140" spans="1:20" ht="15" customHeight="1" x14ac:dyDescent="0.2">
      <c r="J140" s="87"/>
      <c r="K140" s="87"/>
    </row>
    <row r="141" spans="1:20" ht="15" customHeight="1" x14ac:dyDescent="0.2"/>
    <row r="142" spans="1:20" ht="15" customHeight="1" x14ac:dyDescent="0.2"/>
    <row r="143" spans="1:20" ht="15" customHeight="1" x14ac:dyDescent="0.2"/>
  </sheetData>
  <sheetProtection algorithmName="SHA-512" hashValue="mdRuCymA/SYndCd+cx8abXnIR/fXGGl9Q79v28ioOxU3rJFJ5Kbs8d7MZt7rFVeLVYbFnWDKMs7jPYKfA6zTSA==" saltValue="zaAxH2cJCDQg4gTGi161hQ==" spinCount="100000" sheet="1" objects="1" scenarios="1"/>
  <dataConsolidate>
    <dataRefs count="2">
      <dataRef ref="C5:D7" sheet="DATOS DE LOS PATRONES " r:id="rId1"/>
      <dataRef ref="K5:L7" sheet="DATOS DE LOS PATRONES " r:id="rId2"/>
    </dataRefs>
  </dataConsolidate>
  <mergeCells count="108">
    <mergeCell ref="B138:D138"/>
    <mergeCell ref="E123:F123"/>
    <mergeCell ref="E122:F122"/>
    <mergeCell ref="A135:L135"/>
    <mergeCell ref="A121:L121"/>
    <mergeCell ref="G53:L53"/>
    <mergeCell ref="F85:J85"/>
    <mergeCell ref="I111:K111"/>
    <mergeCell ref="B72:D72"/>
    <mergeCell ref="F102:H102"/>
    <mergeCell ref="F96:J96"/>
    <mergeCell ref="F91:J91"/>
    <mergeCell ref="A92:C92"/>
    <mergeCell ref="A93:C93"/>
    <mergeCell ref="A94:C94"/>
    <mergeCell ref="D92:E92"/>
    <mergeCell ref="D93:E93"/>
    <mergeCell ref="D94:E94"/>
    <mergeCell ref="C79:E79"/>
    <mergeCell ref="C76:E76"/>
    <mergeCell ref="C75:E75"/>
    <mergeCell ref="I110:K110"/>
    <mergeCell ref="F72:J72"/>
    <mergeCell ref="F69:J69"/>
    <mergeCell ref="B105:D105"/>
    <mergeCell ref="B64:C64"/>
    <mergeCell ref="B65:C65"/>
    <mergeCell ref="A73:E73"/>
    <mergeCell ref="A74:E74"/>
    <mergeCell ref="C24:D24"/>
    <mergeCell ref="B31:I31"/>
    <mergeCell ref="B33:G33"/>
    <mergeCell ref="F86:J86"/>
    <mergeCell ref="B52:L52"/>
    <mergeCell ref="F29:G29"/>
    <mergeCell ref="B61:I61"/>
    <mergeCell ref="K64:L64"/>
    <mergeCell ref="F77:J77"/>
    <mergeCell ref="I113:K113"/>
    <mergeCell ref="I114:K114"/>
    <mergeCell ref="I115:K115"/>
    <mergeCell ref="A75:B75"/>
    <mergeCell ref="I108:K108"/>
    <mergeCell ref="I109:K109"/>
    <mergeCell ref="I107:K107"/>
    <mergeCell ref="G108:G109"/>
    <mergeCell ref="A107:G107"/>
    <mergeCell ref="F99:J99"/>
    <mergeCell ref="G12:H12"/>
    <mergeCell ref="G14:H14"/>
    <mergeCell ref="B15:C15"/>
    <mergeCell ref="G15:H15"/>
    <mergeCell ref="I15:J15"/>
    <mergeCell ref="H19:H20"/>
    <mergeCell ref="I19:I20"/>
    <mergeCell ref="J19:J20"/>
    <mergeCell ref="B41:K41"/>
    <mergeCell ref="B17:J17"/>
    <mergeCell ref="G18:J18"/>
    <mergeCell ref="G19:G20"/>
    <mergeCell ref="B139:D139"/>
    <mergeCell ref="B13:C13"/>
    <mergeCell ref="G13:H13"/>
    <mergeCell ref="B14:C14"/>
    <mergeCell ref="A88:C88"/>
    <mergeCell ref="A87:C87"/>
    <mergeCell ref="B95:E95"/>
    <mergeCell ref="D89:E89"/>
    <mergeCell ref="D87:E87"/>
    <mergeCell ref="D88:E88"/>
    <mergeCell ref="F82:J82"/>
    <mergeCell ref="C80:E80"/>
    <mergeCell ref="C81:E81"/>
    <mergeCell ref="A80:B80"/>
    <mergeCell ref="A89:C89"/>
    <mergeCell ref="A79:B79"/>
    <mergeCell ref="C78:E78"/>
    <mergeCell ref="A78:B78"/>
    <mergeCell ref="B136:D136"/>
    <mergeCell ref="I119:K119"/>
    <mergeCell ref="K62:L62"/>
    <mergeCell ref="B104:D104"/>
    <mergeCell ref="C97:E97"/>
    <mergeCell ref="I112:K112"/>
    <mergeCell ref="J5:J6"/>
    <mergeCell ref="A1:B3"/>
    <mergeCell ref="B53:E53"/>
    <mergeCell ref="A67:L67"/>
    <mergeCell ref="B42:J42"/>
    <mergeCell ref="B12:C12"/>
    <mergeCell ref="G9:J9"/>
    <mergeCell ref="I10:J10"/>
    <mergeCell ref="G10:H10"/>
    <mergeCell ref="C1:L3"/>
    <mergeCell ref="B8:E8"/>
    <mergeCell ref="B9:C9"/>
    <mergeCell ref="B10:C10"/>
    <mergeCell ref="B11:C11"/>
    <mergeCell ref="G11:H11"/>
    <mergeCell ref="I11:J11"/>
    <mergeCell ref="I12:J12"/>
    <mergeCell ref="I13:J13"/>
    <mergeCell ref="I14:J14"/>
    <mergeCell ref="B27:K27"/>
    <mergeCell ref="G28:H28"/>
    <mergeCell ref="B29:C29"/>
    <mergeCell ref="B21:C23"/>
    <mergeCell ref="B18:C20"/>
  </mergeCells>
  <conditionalFormatting sqref="I119">
    <cfRule type="cellIs" dxfId="0" priority="1" operator="greaterThan">
      <formula>$I$118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44" orientation="portrait" r:id="rId3"/>
  <headerFooter>
    <oddFooter>&amp;RRT03-F12 Vr.2 (2018-03-05)
&amp;P de 3</oddFooter>
  </headerFooter>
  <rowBreaks count="2" manualBreakCount="2">
    <brk id="50" max="16383" man="1"/>
    <brk id="97" max="11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DATOS!$C$27:$C$88</xm:f>
          </x14:formula1>
          <xm:sqref>E24 K21:K24</xm:sqref>
        </x14:dataValidation>
        <x14:dataValidation type="list" allowBlank="1" showInputMessage="1" showErrorMessage="1">
          <x14:formula1>
            <xm:f>DATOS!$C$7:$C$9</xm:f>
          </x14:formula1>
          <xm:sqref>J5:J6</xm:sqref>
        </x14:dataValidation>
        <x14:dataValidation type="list" allowBlank="1" showInputMessage="1" showErrorMessage="1">
          <x14:formula1>
            <xm:f>DATOS!$C$16:$C$22</xm:f>
          </x14:formula1>
          <xm:sqref>F8</xm:sqref>
        </x14:dataValidation>
        <x14:dataValidation type="list" allowBlank="1" showInputMessage="1" showErrorMessage="1">
          <x14:formula1>
            <xm:f>DATOS!$B$27:$B$88</xm:f>
          </x14:formula1>
          <xm:sqref>K10</xm:sqref>
        </x14:dataValidation>
        <x14:dataValidation type="list" allowBlank="1" showInputMessage="1" showErrorMessage="1">
          <x14:formula1>
            <xm:f>DATOS!$C$112:$C$121</xm:f>
          </x14:formula1>
          <xm:sqref>K28</xm:sqref>
        </x14:dataValidation>
        <x14:dataValidation type="list" allowBlank="1" showInputMessage="1" showErrorMessage="1">
          <x14:formula1>
            <xm:f>DATOS!$O$101:$O$147</xm:f>
          </x14:formula1>
          <xm:sqref>K29</xm:sqref>
        </x14:dataValidation>
        <x14:dataValidation type="list" allowBlank="1" showInputMessage="1" showErrorMessage="1">
          <x14:formula1>
            <xm:f>DATOS!$D$158:$D$162</xm:f>
          </x14:formula1>
          <xm:sqref>K62</xm:sqref>
        </x14:dataValidation>
        <x14:dataValidation type="list" allowBlank="1" showInputMessage="1" showErrorMessage="1">
          <x14:formula1>
            <xm:f>DATOS!$K$27:$K$45</xm:f>
          </x14:formula1>
          <xm:sqref>E19</xm:sqref>
        </x14:dataValidation>
        <x14:dataValidation type="list" allowBlank="1" showInputMessage="1" showErrorMessage="1">
          <x14:formula1>
            <xm:f>DATOS!$L$27:$L$52</xm:f>
          </x14:formula1>
          <xm:sqref>D22:F22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98"/>
  <sheetViews>
    <sheetView showGridLines="0" tabSelected="1" showRuler="0" showWhiteSpace="0" view="pageBreakPreview" topLeftCell="A67" zoomScale="110" zoomScaleNormal="110" zoomScaleSheetLayoutView="110" zoomScalePageLayoutView="85" workbookViewId="0">
      <selection activeCell="I14" sqref="I14"/>
    </sheetView>
  </sheetViews>
  <sheetFormatPr baseColWidth="10" defaultRowHeight="15" customHeight="1" x14ac:dyDescent="0.2"/>
  <cols>
    <col min="1" max="3" width="14.7109375" style="6" customWidth="1"/>
    <col min="4" max="4" width="15.140625" style="6" customWidth="1"/>
    <col min="5" max="6" width="14.7109375" style="6" customWidth="1"/>
    <col min="7" max="16384" width="11.42578125" style="6"/>
  </cols>
  <sheetData>
    <row r="1" spans="1:6" ht="18.95" customHeight="1" x14ac:dyDescent="0.2">
      <c r="A1" s="14"/>
      <c r="B1" s="14"/>
      <c r="C1" s="15"/>
      <c r="D1" s="15"/>
      <c r="E1" s="15"/>
      <c r="F1" s="15"/>
    </row>
    <row r="2" spans="1:6" ht="15" customHeight="1" x14ac:dyDescent="0.2">
      <c r="A2" s="14"/>
      <c r="B2" s="14"/>
      <c r="C2" s="15"/>
      <c r="D2" s="15"/>
      <c r="E2" s="15"/>
      <c r="F2" s="15"/>
    </row>
    <row r="3" spans="1:6" ht="15" customHeight="1" x14ac:dyDescent="0.2">
      <c r="A3" s="14"/>
      <c r="B3" s="14"/>
      <c r="C3" s="15"/>
      <c r="D3" s="15"/>
      <c r="E3" s="15"/>
      <c r="F3" s="15"/>
    </row>
    <row r="4" spans="1:6" ht="12" customHeight="1" x14ac:dyDescent="0.2">
      <c r="A4" s="2"/>
      <c r="B4" s="2"/>
      <c r="C4" s="2"/>
      <c r="D4" s="2"/>
      <c r="E4" s="2"/>
      <c r="F4" s="2"/>
    </row>
    <row r="5" spans="1:6" ht="20.100000000000001" customHeight="1" x14ac:dyDescent="0.25">
      <c r="A5" s="805" t="s">
        <v>78</v>
      </c>
      <c r="B5" s="805"/>
      <c r="C5" s="805"/>
      <c r="D5" s="5"/>
      <c r="E5" s="71"/>
      <c r="F5" s="267" t="e">
        <f>'RT03-F12'!I6</f>
        <v>#N/A</v>
      </c>
    </row>
    <row r="6" spans="1:6" ht="12" customHeight="1" x14ac:dyDescent="0.2">
      <c r="A6" s="7"/>
      <c r="B6" s="5"/>
      <c r="C6" s="5"/>
      <c r="D6" s="5"/>
      <c r="E6" s="5"/>
      <c r="F6" s="5"/>
    </row>
    <row r="7" spans="1:6" ht="15" customHeight="1" x14ac:dyDescent="0.2">
      <c r="A7" s="806" t="s">
        <v>154</v>
      </c>
      <c r="B7" s="806"/>
      <c r="C7" s="809" t="e">
        <f>'RT03-F12'!G6</f>
        <v>#N/A</v>
      </c>
      <c r="D7" s="806"/>
      <c r="E7" s="806"/>
      <c r="F7" s="806"/>
    </row>
    <row r="8" spans="1:6" ht="15" customHeight="1" thickBot="1" x14ac:dyDescent="0.25">
      <c r="A8" s="806" t="s">
        <v>79</v>
      </c>
      <c r="B8" s="806"/>
      <c r="C8" s="809" t="e">
        <f>'RT03-F12'!H6</f>
        <v>#N/A</v>
      </c>
      <c r="D8" s="809"/>
      <c r="E8" s="385"/>
      <c r="F8" s="385"/>
    </row>
    <row r="9" spans="1:6" ht="15" customHeight="1" x14ac:dyDescent="0.2">
      <c r="A9" s="806" t="s">
        <v>80</v>
      </c>
      <c r="B9" s="806"/>
      <c r="C9" s="809" t="e">
        <f>'RT03-F12'!B6</f>
        <v>#N/A</v>
      </c>
      <c r="D9" s="806"/>
      <c r="E9" s="832" t="s">
        <v>421</v>
      </c>
      <c r="F9" s="833"/>
    </row>
    <row r="10" spans="1:6" ht="12" customHeight="1" x14ac:dyDescent="0.2">
      <c r="A10" s="810"/>
      <c r="B10" s="810"/>
      <c r="C10" s="9"/>
      <c r="D10" s="5"/>
      <c r="E10" s="834"/>
      <c r="F10" s="835"/>
    </row>
    <row r="11" spans="1:6" ht="15" customHeight="1" x14ac:dyDescent="0.2">
      <c r="A11" s="806" t="s">
        <v>138</v>
      </c>
      <c r="B11" s="806"/>
      <c r="C11" s="807" t="s">
        <v>137</v>
      </c>
      <c r="D11" s="807"/>
      <c r="E11" s="834"/>
      <c r="F11" s="835"/>
    </row>
    <row r="12" spans="1:6" ht="15" customHeight="1" x14ac:dyDescent="0.2">
      <c r="A12" s="806" t="s">
        <v>82</v>
      </c>
      <c r="B12" s="806"/>
      <c r="C12" s="809">
        <f>DATOS!D17</f>
        <v>0</v>
      </c>
      <c r="D12" s="806"/>
      <c r="E12" s="834"/>
      <c r="F12" s="835"/>
    </row>
    <row r="13" spans="1:6" ht="15" customHeight="1" x14ac:dyDescent="0.2">
      <c r="A13" s="806" t="s">
        <v>9</v>
      </c>
      <c r="B13" s="806"/>
      <c r="C13" s="806">
        <f>DATOS!E17</f>
        <v>0</v>
      </c>
      <c r="D13" s="806"/>
      <c r="E13" s="834"/>
      <c r="F13" s="835"/>
    </row>
    <row r="14" spans="1:6" ht="15" customHeight="1" x14ac:dyDescent="0.2">
      <c r="A14" s="806" t="s">
        <v>83</v>
      </c>
      <c r="B14" s="806"/>
      <c r="C14" s="78">
        <f>DATOS!F17</f>
        <v>0</v>
      </c>
      <c r="D14" s="5"/>
      <c r="E14" s="834"/>
      <c r="F14" s="835"/>
    </row>
    <row r="15" spans="1:6" ht="20.100000000000001" customHeight="1" thickBot="1" x14ac:dyDescent="0.25">
      <c r="A15" s="40"/>
      <c r="B15" s="40"/>
      <c r="C15" s="40"/>
      <c r="D15" s="33"/>
      <c r="E15" s="836"/>
      <c r="F15" s="837"/>
    </row>
    <row r="16" spans="1:6" ht="15" customHeight="1" x14ac:dyDescent="0.2">
      <c r="A16" s="381"/>
      <c r="B16" s="381"/>
      <c r="C16" s="381"/>
      <c r="D16" s="33"/>
      <c r="E16" s="386"/>
      <c r="F16" s="386"/>
    </row>
    <row r="17" spans="1:6" ht="12" customHeight="1" x14ac:dyDescent="0.2">
      <c r="A17" s="806" t="s">
        <v>81</v>
      </c>
      <c r="B17" s="806"/>
      <c r="C17" s="41" t="e">
        <f>'RT03-F12'!C6</f>
        <v>#N/A</v>
      </c>
      <c r="D17" s="808" t="s">
        <v>84</v>
      </c>
      <c r="E17" s="808"/>
      <c r="F17" s="41" t="e">
        <f>'RT03-F12'!F6</f>
        <v>#N/A</v>
      </c>
    </row>
    <row r="18" spans="1:6" ht="15" customHeight="1" x14ac:dyDescent="0.2">
      <c r="A18" s="40"/>
      <c r="B18" s="40"/>
      <c r="C18" s="41"/>
      <c r="D18" s="40"/>
      <c r="E18" s="40"/>
      <c r="F18" s="41"/>
    </row>
    <row r="19" spans="1:6" ht="20.100000000000001" customHeight="1" x14ac:dyDescent="0.2">
      <c r="A19" s="811" t="s">
        <v>136</v>
      </c>
      <c r="B19" s="811"/>
      <c r="C19" s="811"/>
      <c r="D19" s="33"/>
      <c r="E19" s="33"/>
      <c r="F19" s="33"/>
    </row>
    <row r="20" spans="1:6" ht="12" customHeight="1" x14ac:dyDescent="0.2">
      <c r="A20" s="36"/>
      <c r="B20" s="36"/>
      <c r="C20" s="36"/>
      <c r="D20" s="33"/>
      <c r="E20" s="33"/>
      <c r="F20" s="33"/>
    </row>
    <row r="21" spans="1:6" ht="15" customHeight="1" x14ac:dyDescent="0.2">
      <c r="A21" s="806" t="s">
        <v>132</v>
      </c>
      <c r="B21" s="806"/>
      <c r="C21" s="79" t="e">
        <f>'RT03-F12'!D12</f>
        <v>#N/A</v>
      </c>
      <c r="D21" s="40" t="s">
        <v>91</v>
      </c>
      <c r="E21" s="40"/>
      <c r="F21" s="40"/>
    </row>
    <row r="22" spans="1:6" ht="15" customHeight="1" x14ac:dyDescent="0.2">
      <c r="A22" s="806" t="s">
        <v>133</v>
      </c>
      <c r="B22" s="806"/>
      <c r="C22" s="79" t="e">
        <f>'RT03-F12'!D13</f>
        <v>#N/A</v>
      </c>
      <c r="D22" s="40" t="s">
        <v>91</v>
      </c>
      <c r="E22" s="40"/>
      <c r="F22" s="40"/>
    </row>
    <row r="23" spans="1:6" ht="15" customHeight="1" x14ac:dyDescent="0.2">
      <c r="A23" s="806" t="s">
        <v>134</v>
      </c>
      <c r="B23" s="806"/>
      <c r="C23" s="479" t="e">
        <f>'RT03-F12'!D14</f>
        <v>#N/A</v>
      </c>
      <c r="D23" s="40" t="s">
        <v>91</v>
      </c>
      <c r="E23" s="40"/>
      <c r="F23" s="40"/>
    </row>
    <row r="24" spans="1:6" ht="15" customHeight="1" x14ac:dyDescent="0.2">
      <c r="A24" s="806" t="s">
        <v>135</v>
      </c>
      <c r="B24" s="806"/>
      <c r="C24" s="79" t="e">
        <f>'RT03-F12'!D15</f>
        <v>#N/A</v>
      </c>
      <c r="D24" s="40" t="s">
        <v>91</v>
      </c>
      <c r="E24" s="40"/>
      <c r="F24" s="40"/>
    </row>
    <row r="26" spans="1:6" ht="20.100000000000001" customHeight="1" x14ac:dyDescent="0.2">
      <c r="A26" s="811" t="s">
        <v>354</v>
      </c>
      <c r="B26" s="811"/>
      <c r="C26" s="10" t="e">
        <f>'RT03-F12'!D6</f>
        <v>#N/A</v>
      </c>
      <c r="D26" s="8"/>
      <c r="E26" s="8"/>
      <c r="F26" s="5"/>
    </row>
    <row r="27" spans="1:6" ht="12" customHeight="1" x14ac:dyDescent="0.2">
      <c r="A27" s="11"/>
      <c r="B27" s="11"/>
      <c r="C27" s="11"/>
    </row>
    <row r="28" spans="1:6" ht="20.100000000000001" customHeight="1" x14ac:dyDescent="0.2">
      <c r="A28" s="811" t="s">
        <v>164</v>
      </c>
      <c r="B28" s="811"/>
      <c r="C28" s="811"/>
      <c r="D28" s="811"/>
      <c r="E28" s="811"/>
      <c r="F28" s="811"/>
    </row>
    <row r="29" spans="1:6" ht="12" customHeight="1" x14ac:dyDescent="0.2">
      <c r="D29" s="12"/>
      <c r="E29" s="5"/>
      <c r="F29" s="5"/>
    </row>
    <row r="30" spans="1:6" ht="20.100000000000001" customHeight="1" x14ac:dyDescent="0.2">
      <c r="A30" s="811" t="s">
        <v>139</v>
      </c>
      <c r="B30" s="811"/>
      <c r="C30" s="811"/>
      <c r="D30" s="12"/>
      <c r="E30" s="5"/>
      <c r="F30" s="5"/>
    </row>
    <row r="31" spans="1:6" ht="12" customHeight="1" x14ac:dyDescent="0.2">
      <c r="A31" s="36"/>
      <c r="B31" s="36"/>
      <c r="C31" s="36"/>
      <c r="D31" s="12"/>
      <c r="E31" s="33"/>
      <c r="F31" s="33"/>
    </row>
    <row r="32" spans="1:6" ht="15" customHeight="1" x14ac:dyDescent="0.2">
      <c r="A32" s="806" t="s">
        <v>85</v>
      </c>
      <c r="B32" s="806"/>
      <c r="C32" s="806"/>
      <c r="D32" s="806"/>
      <c r="E32" s="806"/>
      <c r="F32" s="806"/>
    </row>
    <row r="33" spans="1:6" ht="12" customHeight="1" x14ac:dyDescent="0.2">
      <c r="A33" s="11"/>
      <c r="B33" s="11"/>
      <c r="C33" s="11"/>
      <c r="D33" s="11"/>
      <c r="E33" s="11"/>
      <c r="F33" s="11"/>
    </row>
    <row r="34" spans="1:6" ht="20.100000000000001" customHeight="1" x14ac:dyDescent="0.2">
      <c r="A34" s="813" t="s">
        <v>140</v>
      </c>
      <c r="B34" s="813"/>
      <c r="C34" s="813"/>
      <c r="D34" s="813"/>
      <c r="E34" s="11"/>
      <c r="F34" s="11"/>
    </row>
    <row r="35" spans="1:6" ht="12" customHeight="1" x14ac:dyDescent="0.2">
      <c r="A35" s="37"/>
      <c r="B35" s="37"/>
      <c r="C35" s="37"/>
      <c r="D35" s="37"/>
      <c r="E35" s="11"/>
      <c r="F35" s="11"/>
    </row>
    <row r="36" spans="1:6" ht="12.95" customHeight="1" x14ac:dyDescent="0.2">
      <c r="A36" s="814" t="s">
        <v>422</v>
      </c>
      <c r="B36" s="814"/>
      <c r="C36" s="814"/>
      <c r="D36" s="814"/>
      <c r="E36" s="814"/>
      <c r="F36" s="814"/>
    </row>
    <row r="37" spans="1:6" ht="12.95" customHeight="1" x14ac:dyDescent="0.2">
      <c r="A37" s="814"/>
      <c r="B37" s="814"/>
      <c r="C37" s="814"/>
      <c r="D37" s="814"/>
      <c r="E37" s="814"/>
      <c r="F37" s="814"/>
    </row>
    <row r="38" spans="1:6" ht="12.95" customHeight="1" x14ac:dyDescent="0.2">
      <c r="A38" s="814"/>
      <c r="B38" s="814"/>
      <c r="C38" s="814"/>
      <c r="D38" s="814"/>
      <c r="E38" s="814"/>
      <c r="F38" s="814"/>
    </row>
    <row r="39" spans="1:6" ht="12.95" customHeight="1" x14ac:dyDescent="0.2">
      <c r="A39" s="814"/>
      <c r="B39" s="814"/>
      <c r="C39" s="814"/>
      <c r="D39" s="814"/>
      <c r="E39" s="814"/>
      <c r="F39" s="814"/>
    </row>
    <row r="40" spans="1:6" ht="12" customHeight="1" x14ac:dyDescent="0.2"/>
    <row r="41" spans="1:6" ht="15" customHeight="1" x14ac:dyDescent="0.2">
      <c r="A41" s="813" t="s">
        <v>159</v>
      </c>
      <c r="B41" s="813"/>
      <c r="C41" s="817" t="s">
        <v>130</v>
      </c>
      <c r="D41" s="817"/>
      <c r="E41" s="817"/>
      <c r="F41" s="817"/>
    </row>
    <row r="42" spans="1:6" ht="15" customHeight="1" x14ac:dyDescent="0.2">
      <c r="A42" s="813"/>
      <c r="B42" s="813"/>
      <c r="C42" s="817"/>
      <c r="D42" s="817"/>
      <c r="E42" s="817"/>
      <c r="F42" s="817"/>
    </row>
    <row r="43" spans="1:6" ht="15" customHeight="1" x14ac:dyDescent="0.2">
      <c r="A43" s="818" t="s">
        <v>155</v>
      </c>
      <c r="B43" s="818"/>
      <c r="C43" s="817" t="s">
        <v>131</v>
      </c>
      <c r="D43" s="817"/>
      <c r="E43" s="817"/>
      <c r="F43" s="817"/>
    </row>
    <row r="44" spans="1:6" ht="15" customHeight="1" x14ac:dyDescent="0.2">
      <c r="A44" s="818"/>
      <c r="B44" s="818"/>
      <c r="C44" s="817"/>
      <c r="D44" s="817"/>
      <c r="E44" s="817"/>
      <c r="F44" s="817"/>
    </row>
    <row r="45" spans="1:6" ht="15" customHeight="1" x14ac:dyDescent="0.2">
      <c r="A45" s="818" t="s">
        <v>156</v>
      </c>
      <c r="B45" s="818"/>
      <c r="C45" s="817" t="s">
        <v>181</v>
      </c>
      <c r="D45" s="817"/>
      <c r="E45" s="817"/>
      <c r="F45" s="817"/>
    </row>
    <row r="46" spans="1:6" ht="15" customHeight="1" x14ac:dyDescent="0.2">
      <c r="A46" s="818"/>
      <c r="B46" s="818"/>
      <c r="C46" s="817"/>
      <c r="D46" s="817"/>
      <c r="E46" s="817"/>
      <c r="F46" s="817"/>
    </row>
    <row r="47" spans="1:6" ht="12" customHeight="1" x14ac:dyDescent="0.2">
      <c r="A47" s="12"/>
      <c r="B47" s="12"/>
      <c r="C47" s="12"/>
      <c r="D47" s="12"/>
      <c r="E47" s="12"/>
      <c r="F47" s="12"/>
    </row>
    <row r="48" spans="1:6" ht="30" customHeight="1" x14ac:dyDescent="0.2">
      <c r="A48" s="12"/>
      <c r="B48" s="12"/>
      <c r="C48" s="12"/>
      <c r="D48" s="12"/>
      <c r="E48" s="12"/>
      <c r="F48" s="18" t="e">
        <f>F5</f>
        <v>#N/A</v>
      </c>
    </row>
    <row r="49" spans="1:6" ht="22.5" customHeight="1" x14ac:dyDescent="0.2">
      <c r="A49" s="813" t="s">
        <v>167</v>
      </c>
      <c r="B49" s="813"/>
      <c r="C49" s="813"/>
      <c r="D49" s="815"/>
      <c r="E49" s="815"/>
      <c r="F49" s="815"/>
    </row>
    <row r="50" spans="1:6" ht="27" customHeight="1" x14ac:dyDescent="0.2">
      <c r="A50" s="816">
        <f>DATOS!H8</f>
        <v>0</v>
      </c>
      <c r="B50" s="816"/>
      <c r="C50" s="816">
        <f>DATOS!G8</f>
        <v>0</v>
      </c>
      <c r="D50" s="816"/>
      <c r="E50" s="276"/>
      <c r="F50" s="380"/>
    </row>
    <row r="51" spans="1:6" ht="15" customHeight="1" x14ac:dyDescent="0.2">
      <c r="A51" s="17"/>
      <c r="B51" s="18"/>
      <c r="C51" s="12"/>
      <c r="D51" s="5"/>
      <c r="E51" s="5"/>
      <c r="F51" s="5"/>
    </row>
    <row r="52" spans="1:6" ht="20.100000000000001" customHeight="1" x14ac:dyDescent="0.2">
      <c r="A52" s="813" t="s">
        <v>144</v>
      </c>
      <c r="B52" s="813"/>
      <c r="C52" s="42">
        <f>DATOS!L8</f>
        <v>0</v>
      </c>
      <c r="D52" s="43"/>
      <c r="F52" s="5"/>
    </row>
    <row r="53" spans="1:6" ht="15" customHeight="1" x14ac:dyDescent="0.2">
      <c r="C53" s="5"/>
      <c r="D53" s="5"/>
      <c r="E53" s="5"/>
      <c r="F53" s="5"/>
    </row>
    <row r="54" spans="1:6" ht="20.100000000000001" customHeight="1" x14ac:dyDescent="0.2">
      <c r="A54" s="811" t="s">
        <v>375</v>
      </c>
      <c r="B54" s="811"/>
      <c r="C54" s="819"/>
      <c r="D54" s="5"/>
      <c r="E54" s="5"/>
      <c r="F54" s="5"/>
    </row>
    <row r="55" spans="1:6" ht="15" customHeight="1" thickBot="1" x14ac:dyDescent="0.25">
      <c r="A55" s="19"/>
      <c r="B55" s="19"/>
      <c r="C55" s="19"/>
      <c r="D55" s="5"/>
      <c r="E55" s="5"/>
      <c r="F55" s="5"/>
    </row>
    <row r="56" spans="1:6" ht="24.95" customHeight="1" thickBot="1" x14ac:dyDescent="0.25">
      <c r="A56" s="44" t="s">
        <v>86</v>
      </c>
      <c r="B56" s="45" t="s">
        <v>87</v>
      </c>
      <c r="C56" s="45" t="s">
        <v>88</v>
      </c>
      <c r="D56" s="5"/>
      <c r="E56" s="5"/>
      <c r="F56" s="5"/>
    </row>
    <row r="57" spans="1:6" ht="20.100000000000001" customHeight="1" thickBot="1" x14ac:dyDescent="0.25">
      <c r="A57" s="495">
        <f>'RT03-F12'!E65</f>
        <v>-0.44030000000000002</v>
      </c>
      <c r="B57" s="496">
        <f>'RT03-F12'!G65</f>
        <v>3.0127999999999999</v>
      </c>
      <c r="C57" s="496">
        <f>'RT03-F12'!I65</f>
        <v>-1.3937999999999999</v>
      </c>
      <c r="D57" s="5"/>
      <c r="E57" s="5"/>
      <c r="F57" s="5"/>
    </row>
    <row r="58" spans="1:6" ht="15" customHeight="1" x14ac:dyDescent="0.2">
      <c r="A58" s="812" t="s">
        <v>150</v>
      </c>
      <c r="B58" s="812"/>
      <c r="C58" s="812"/>
      <c r="D58" s="812"/>
      <c r="E58" s="812"/>
      <c r="F58" s="812"/>
    </row>
    <row r="59" spans="1:6" ht="15" customHeight="1" x14ac:dyDescent="0.2">
      <c r="A59" s="19"/>
      <c r="B59" s="19"/>
      <c r="C59" s="19"/>
      <c r="D59" s="5"/>
      <c r="E59" s="5"/>
      <c r="F59" s="5"/>
    </row>
    <row r="60" spans="1:6" ht="20.100000000000001" customHeight="1" x14ac:dyDescent="0.2">
      <c r="A60" s="813" t="s">
        <v>141</v>
      </c>
      <c r="B60" s="813"/>
      <c r="C60" s="813"/>
      <c r="D60" s="813"/>
      <c r="E60" s="19"/>
      <c r="F60" s="19"/>
    </row>
    <row r="61" spans="1:6" ht="12" customHeight="1" thickBot="1" x14ac:dyDescent="0.25">
      <c r="A61" s="37"/>
      <c r="B61" s="37"/>
      <c r="C61" s="37"/>
      <c r="D61" s="37"/>
      <c r="E61" s="20"/>
      <c r="F61" s="20"/>
    </row>
    <row r="62" spans="1:6" ht="15" customHeight="1" thickBot="1" x14ac:dyDescent="0.25">
      <c r="A62" s="853" t="s">
        <v>166</v>
      </c>
      <c r="B62" s="854"/>
      <c r="C62" s="66" t="e">
        <f>'RT03-F12'!I12</f>
        <v>#N/A</v>
      </c>
      <c r="D62" s="5"/>
      <c r="E62" s="5"/>
      <c r="F62" s="5"/>
    </row>
    <row r="63" spans="1:6" ht="15" customHeight="1" thickBot="1" x14ac:dyDescent="0.25">
      <c r="A63" s="855" t="s">
        <v>89</v>
      </c>
      <c r="B63" s="856"/>
      <c r="C63" s="68" t="e">
        <f>'RT03-F12'!I13</f>
        <v>#N/A</v>
      </c>
      <c r="D63" s="5"/>
      <c r="E63" s="5"/>
      <c r="F63" s="5"/>
    </row>
    <row r="64" spans="1:6" ht="15" customHeight="1" thickBot="1" x14ac:dyDescent="0.25">
      <c r="A64" s="851" t="s">
        <v>165</v>
      </c>
      <c r="B64" s="852"/>
      <c r="C64" s="67" t="e">
        <f>'RT03-F12'!I14</f>
        <v>#N/A</v>
      </c>
      <c r="D64" s="5"/>
      <c r="E64" s="5"/>
      <c r="F64" s="5"/>
    </row>
    <row r="65" spans="1:6" ht="15" customHeight="1" x14ac:dyDescent="0.2">
      <c r="A65" s="11"/>
      <c r="B65" s="34"/>
      <c r="C65" s="5"/>
      <c r="D65" s="5"/>
      <c r="E65" s="5"/>
      <c r="F65" s="5"/>
    </row>
    <row r="66" spans="1:6" ht="20.100000000000001" customHeight="1" x14ac:dyDescent="0.2">
      <c r="A66" s="813" t="s">
        <v>142</v>
      </c>
      <c r="B66" s="813"/>
      <c r="C66" s="813"/>
      <c r="D66" s="813"/>
      <c r="E66" s="19"/>
      <c r="F66" s="19"/>
    </row>
    <row r="67" spans="1:6" ht="12" customHeight="1" x14ac:dyDescent="0.2">
      <c r="A67" s="37"/>
      <c r="B67" s="37"/>
      <c r="C67" s="37"/>
      <c r="D67" s="37"/>
      <c r="E67" s="20"/>
      <c r="F67" s="20"/>
    </row>
    <row r="68" spans="1:6" ht="15" customHeight="1" x14ac:dyDescent="0.2">
      <c r="A68" s="842" t="s">
        <v>93</v>
      </c>
      <c r="B68" s="842"/>
      <c r="D68" s="19"/>
      <c r="E68" s="19"/>
      <c r="F68" s="19"/>
    </row>
    <row r="69" spans="1:6" ht="15" customHeight="1" thickBot="1" x14ac:dyDescent="0.25">
      <c r="A69" s="19"/>
      <c r="B69" s="19"/>
      <c r="C69" s="19"/>
      <c r="D69" s="5"/>
      <c r="E69" s="5"/>
      <c r="F69" s="5"/>
    </row>
    <row r="70" spans="1:6" ht="15" customHeight="1" thickBot="1" x14ac:dyDescent="0.25">
      <c r="A70" s="847" t="s">
        <v>90</v>
      </c>
      <c r="B70" s="848"/>
      <c r="C70" s="849"/>
      <c r="D70" s="19"/>
      <c r="E70" s="19"/>
      <c r="F70" s="19"/>
    </row>
    <row r="71" spans="1:6" ht="15" customHeight="1" thickBot="1" x14ac:dyDescent="0.25">
      <c r="A71" s="46" t="str">
        <f>'RT03-F12'!C34</f>
        <v>Carga</v>
      </c>
      <c r="B71" s="47">
        <f>'RT03-F12'!E34</f>
        <v>0</v>
      </c>
      <c r="C71" s="48" t="str">
        <f>'RT03-F12'!D34</f>
        <v>(g)</v>
      </c>
      <c r="D71" s="19"/>
      <c r="E71" s="55" t="s">
        <v>92</v>
      </c>
      <c r="F71" s="19"/>
    </row>
    <row r="72" spans="1:6" ht="15" customHeight="1" thickBot="1" x14ac:dyDescent="0.25">
      <c r="A72" s="46" t="str">
        <f>'RT03-F12'!B35</f>
        <v>Posición</v>
      </c>
      <c r="B72" s="48" t="str">
        <f>'RT03-F12'!B36</f>
        <v>Indicación (g)</v>
      </c>
      <c r="C72" s="49" t="s">
        <v>182</v>
      </c>
      <c r="D72" s="19"/>
      <c r="E72" s="19"/>
      <c r="F72" s="19"/>
    </row>
    <row r="73" spans="1:6" ht="20.100000000000001" customHeight="1" x14ac:dyDescent="0.2">
      <c r="A73" s="50">
        <f>'RT03-F12'!C35</f>
        <v>1</v>
      </c>
      <c r="B73" s="72">
        <f>'RT03-F12'!C36</f>
        <v>0</v>
      </c>
      <c r="C73" s="73">
        <f>'RT03-F12'!C37</f>
        <v>0</v>
      </c>
      <c r="D73" s="19"/>
      <c r="F73" s="19"/>
    </row>
    <row r="74" spans="1:6" ht="20.100000000000001" customHeight="1" x14ac:dyDescent="0.2">
      <c r="A74" s="50">
        <f>'RT03-F12'!D35</f>
        <v>2</v>
      </c>
      <c r="B74" s="51">
        <f>'RT03-F12'!D36</f>
        <v>0</v>
      </c>
      <c r="C74" s="51">
        <f>'RT03-F12'!D37</f>
        <v>0</v>
      </c>
      <c r="D74" s="19"/>
      <c r="E74" s="19"/>
      <c r="F74" s="19"/>
    </row>
    <row r="75" spans="1:6" ht="20.100000000000001" customHeight="1" x14ac:dyDescent="0.2">
      <c r="A75" s="52">
        <f>'RT03-F12'!E35</f>
        <v>3</v>
      </c>
      <c r="B75" s="51">
        <f>'RT03-F12'!E36</f>
        <v>0</v>
      </c>
      <c r="C75" s="51">
        <f>'RT03-F12'!E37</f>
        <v>0</v>
      </c>
      <c r="D75" s="19"/>
      <c r="E75" s="19"/>
      <c r="F75" s="19"/>
    </row>
    <row r="76" spans="1:6" ht="20.100000000000001" customHeight="1" x14ac:dyDescent="0.2">
      <c r="A76" s="52">
        <f>'RT03-F12'!F35</f>
        <v>4</v>
      </c>
      <c r="B76" s="51">
        <f>'RT03-F12'!F36</f>
        <v>0</v>
      </c>
      <c r="C76" s="51">
        <f>'RT03-F12'!F37</f>
        <v>0</v>
      </c>
      <c r="D76" s="19"/>
      <c r="E76" s="19"/>
      <c r="F76" s="19"/>
    </row>
    <row r="77" spans="1:6" ht="20.100000000000001" customHeight="1" x14ac:dyDescent="0.2">
      <c r="A77" s="52">
        <f>'RT03-F12'!G35</f>
        <v>5</v>
      </c>
      <c r="B77" s="51">
        <f>'RT03-F12'!G36</f>
        <v>0</v>
      </c>
      <c r="C77" s="51">
        <f>'RT03-F12'!G37</f>
        <v>0</v>
      </c>
      <c r="D77" s="19"/>
      <c r="E77" s="19"/>
      <c r="F77" s="19"/>
    </row>
    <row r="78" spans="1:6" ht="20.100000000000001" customHeight="1" x14ac:dyDescent="0.2">
      <c r="A78" s="53" t="str">
        <f>'[4]PRUEBAS DE CALIBRACION'!F18</f>
        <v>DIF MAX EXC</v>
      </c>
      <c r="B78" s="51">
        <f>'RT03-F12'!C39</f>
        <v>0</v>
      </c>
      <c r="C78" s="54" t="s">
        <v>143</v>
      </c>
      <c r="D78" s="19"/>
      <c r="E78" s="19"/>
      <c r="F78" s="19"/>
    </row>
    <row r="79" spans="1:6" ht="15" customHeight="1" x14ac:dyDescent="0.2">
      <c r="A79" s="12"/>
      <c r="B79" s="21"/>
      <c r="C79" s="18"/>
      <c r="D79" s="20"/>
      <c r="E79" s="20"/>
      <c r="F79" s="20"/>
    </row>
    <row r="80" spans="1:6" ht="15" customHeight="1" x14ac:dyDescent="0.2">
      <c r="A80" s="822" t="s">
        <v>364</v>
      </c>
      <c r="B80" s="822"/>
      <c r="C80" s="822"/>
      <c r="D80" s="822"/>
      <c r="E80" s="822"/>
      <c r="F80" s="822"/>
    </row>
    <row r="81" spans="1:6" ht="15" customHeight="1" x14ac:dyDescent="0.2">
      <c r="A81" s="822"/>
      <c r="B81" s="822"/>
      <c r="C81" s="822"/>
      <c r="D81" s="822"/>
      <c r="E81" s="822"/>
      <c r="F81" s="822"/>
    </row>
    <row r="82" spans="1:6" ht="15" customHeight="1" x14ac:dyDescent="0.2">
      <c r="A82" s="822"/>
      <c r="B82" s="822"/>
      <c r="C82" s="822"/>
      <c r="D82" s="822"/>
      <c r="E82" s="822"/>
      <c r="F82" s="822"/>
    </row>
    <row r="83" spans="1:6" ht="15" customHeight="1" x14ac:dyDescent="0.2">
      <c r="A83" s="31"/>
      <c r="B83" s="31"/>
      <c r="C83" s="31"/>
      <c r="D83" s="31"/>
      <c r="E83" s="31"/>
      <c r="F83" s="31"/>
    </row>
    <row r="84" spans="1:6" ht="15" customHeight="1" x14ac:dyDescent="0.2">
      <c r="A84" s="842" t="s">
        <v>96</v>
      </c>
      <c r="B84" s="842"/>
      <c r="E84" s="12"/>
      <c r="F84" s="12"/>
    </row>
    <row r="85" spans="1:6" ht="15" customHeight="1" thickBot="1" x14ac:dyDescent="0.25">
      <c r="E85" s="12"/>
      <c r="F85" s="18" t="e">
        <f>F5</f>
        <v>#N/A</v>
      </c>
    </row>
    <row r="86" spans="1:6" ht="15" customHeight="1" thickBot="1" x14ac:dyDescent="0.25">
      <c r="A86" s="839" t="s">
        <v>145</v>
      </c>
      <c r="B86" s="840"/>
      <c r="C86" s="840"/>
      <c r="D86" s="841"/>
      <c r="E86" s="12"/>
      <c r="F86" s="12"/>
    </row>
    <row r="87" spans="1:6" ht="20.100000000000001" customHeight="1" thickBot="1" x14ac:dyDescent="0.25">
      <c r="A87" s="46" t="str">
        <f>'RT03-F12'!A43</f>
        <v>Cargas (g)</v>
      </c>
      <c r="B87" s="56">
        <f>'RT03-F12'!A44</f>
        <v>0</v>
      </c>
      <c r="C87" s="56">
        <f>'RT03-F12'!A45</f>
        <v>0</v>
      </c>
      <c r="D87" s="56">
        <f>'RT03-F12'!A46</f>
        <v>0</v>
      </c>
      <c r="E87" s="12"/>
      <c r="F87" s="12"/>
    </row>
    <row r="88" spans="1:6" ht="15" customHeight="1" thickBot="1" x14ac:dyDescent="0.25">
      <c r="A88" s="57" t="s">
        <v>94</v>
      </c>
      <c r="B88" s="57" t="s">
        <v>95</v>
      </c>
      <c r="C88" s="57" t="s">
        <v>95</v>
      </c>
      <c r="D88" s="57" t="s">
        <v>95</v>
      </c>
      <c r="E88" s="12"/>
      <c r="F88" s="12"/>
    </row>
    <row r="89" spans="1:6" ht="20.100000000000001" customHeight="1" x14ac:dyDescent="0.2">
      <c r="A89" s="50">
        <f>'RT03-F12'!B43</f>
        <v>1</v>
      </c>
      <c r="B89" s="73">
        <f>'RT03-F12'!B44</f>
        <v>0</v>
      </c>
      <c r="C89" s="73">
        <f>'RT03-F12'!B45</f>
        <v>0</v>
      </c>
      <c r="D89" s="73">
        <f>'RT03-F12'!B46</f>
        <v>0</v>
      </c>
      <c r="E89" s="12"/>
      <c r="F89" s="12"/>
    </row>
    <row r="90" spans="1:6" ht="20.100000000000001" customHeight="1" x14ac:dyDescent="0.2">
      <c r="A90" s="50">
        <f>'RT03-F12'!C43</f>
        <v>2</v>
      </c>
      <c r="B90" s="51">
        <f>'RT03-F12'!C44</f>
        <v>0</v>
      </c>
      <c r="C90" s="51">
        <f>'RT03-F12'!C45</f>
        <v>0</v>
      </c>
      <c r="D90" s="51">
        <f>'RT03-F12'!C46</f>
        <v>0</v>
      </c>
      <c r="E90" s="12"/>
      <c r="F90" s="12"/>
    </row>
    <row r="91" spans="1:6" ht="20.100000000000001" customHeight="1" x14ac:dyDescent="0.2">
      <c r="A91" s="50">
        <f>'RT03-F12'!D43</f>
        <v>3</v>
      </c>
      <c r="B91" s="51">
        <f>'RT03-F12'!D44</f>
        <v>0</v>
      </c>
      <c r="C91" s="51">
        <f>'RT03-F12'!D45</f>
        <v>0</v>
      </c>
      <c r="D91" s="51">
        <f>'RT03-F12'!D46</f>
        <v>0</v>
      </c>
      <c r="E91" s="12"/>
      <c r="F91" s="12"/>
    </row>
    <row r="92" spans="1:6" ht="20.100000000000001" customHeight="1" x14ac:dyDescent="0.2">
      <c r="A92" s="50">
        <f>'RT03-F12'!E43</f>
        <v>4</v>
      </c>
      <c r="B92" s="51">
        <f>'RT03-F12'!E44</f>
        <v>0</v>
      </c>
      <c r="C92" s="51">
        <f>'RT03-F12'!E45</f>
        <v>0</v>
      </c>
      <c r="D92" s="51">
        <f>'RT03-F12'!E46</f>
        <v>0</v>
      </c>
      <c r="E92" s="12"/>
      <c r="F92" s="12"/>
    </row>
    <row r="93" spans="1:6" ht="20.100000000000001" customHeight="1" x14ac:dyDescent="0.2">
      <c r="A93" s="50">
        <f>'RT03-F12'!F43</f>
        <v>5</v>
      </c>
      <c r="B93" s="51">
        <f>'RT03-F12'!F44</f>
        <v>0</v>
      </c>
      <c r="C93" s="51">
        <f>'RT03-F12'!F45</f>
        <v>0</v>
      </c>
      <c r="D93" s="51">
        <f>'RT03-F12'!F46</f>
        <v>0</v>
      </c>
      <c r="E93" s="12"/>
      <c r="F93" s="12"/>
    </row>
    <row r="94" spans="1:6" ht="20.100000000000001" customHeight="1" x14ac:dyDescent="0.2">
      <c r="A94" s="50">
        <f>'RT03-F12'!G43</f>
        <v>6</v>
      </c>
      <c r="B94" s="51">
        <f>'RT03-F12'!G44</f>
        <v>0</v>
      </c>
      <c r="C94" s="51">
        <f>'RT03-F12'!G45</f>
        <v>0</v>
      </c>
      <c r="D94" s="51">
        <f>'RT03-F12'!G46</f>
        <v>0</v>
      </c>
      <c r="E94" s="12"/>
      <c r="F94" s="12"/>
    </row>
    <row r="95" spans="1:6" ht="20.100000000000001" customHeight="1" x14ac:dyDescent="0.2">
      <c r="A95" s="50">
        <f>'RT03-F12'!H43</f>
        <v>7</v>
      </c>
      <c r="B95" s="51">
        <f>'RT03-F12'!H44</f>
        <v>0</v>
      </c>
      <c r="C95" s="51">
        <f>'RT03-F12'!H45</f>
        <v>0</v>
      </c>
      <c r="D95" s="51">
        <f>'RT03-F12'!H46</f>
        <v>0</v>
      </c>
      <c r="E95" s="12"/>
      <c r="F95" s="12"/>
    </row>
    <row r="96" spans="1:6" ht="20.100000000000001" customHeight="1" x14ac:dyDescent="0.2">
      <c r="A96" s="50">
        <f>'RT03-F12'!I43</f>
        <v>8</v>
      </c>
      <c r="B96" s="51">
        <f>'RT03-F12'!I44</f>
        <v>0</v>
      </c>
      <c r="C96" s="51">
        <f>'RT03-F12'!I45</f>
        <v>0</v>
      </c>
      <c r="D96" s="51">
        <f>'RT03-F12'!I46</f>
        <v>0</v>
      </c>
      <c r="E96" s="12"/>
      <c r="F96" s="12"/>
    </row>
    <row r="97" spans="1:6" ht="20.100000000000001" customHeight="1" x14ac:dyDescent="0.2">
      <c r="A97" s="50">
        <f>'RT03-F12'!J43</f>
        <v>9</v>
      </c>
      <c r="B97" s="51">
        <f>'RT03-F12'!J44</f>
        <v>0</v>
      </c>
      <c r="C97" s="51">
        <f>'RT03-F12'!J45</f>
        <v>0</v>
      </c>
      <c r="D97" s="51">
        <f>'RT03-F12'!J46</f>
        <v>0</v>
      </c>
      <c r="E97" s="12"/>
      <c r="F97" s="12"/>
    </row>
    <row r="98" spans="1:6" ht="20.100000000000001" customHeight="1" x14ac:dyDescent="0.2">
      <c r="A98" s="50">
        <f>'RT03-F12'!K43</f>
        <v>10</v>
      </c>
      <c r="B98" s="51">
        <f>'RT03-F12'!K44</f>
        <v>0</v>
      </c>
      <c r="C98" s="51">
        <f>'RT03-F12'!K45</f>
        <v>0</v>
      </c>
      <c r="D98" s="51">
        <f>'RT03-F12'!K46</f>
        <v>0</v>
      </c>
      <c r="E98" s="19"/>
      <c r="F98" s="19"/>
    </row>
    <row r="99" spans="1:6" ht="15" customHeight="1" x14ac:dyDescent="0.2">
      <c r="A99" s="5"/>
      <c r="B99" s="5"/>
      <c r="C99" s="5"/>
      <c r="D99" s="19"/>
      <c r="E99" s="19"/>
      <c r="F99" s="19"/>
    </row>
    <row r="100" spans="1:6" ht="15" customHeight="1" x14ac:dyDescent="0.2">
      <c r="A100" s="850" t="s">
        <v>365</v>
      </c>
      <c r="B100" s="850"/>
      <c r="C100" s="850"/>
      <c r="D100" s="850"/>
      <c r="E100" s="850"/>
      <c r="F100" s="850"/>
    </row>
    <row r="101" spans="1:6" ht="15" customHeight="1" x14ac:dyDescent="0.2">
      <c r="A101" s="850"/>
      <c r="B101" s="850"/>
      <c r="C101" s="850"/>
      <c r="D101" s="850"/>
      <c r="E101" s="850"/>
      <c r="F101" s="850"/>
    </row>
    <row r="102" spans="1:6" ht="15" customHeight="1" x14ac:dyDescent="0.2">
      <c r="A102" s="850"/>
      <c r="B102" s="850"/>
      <c r="C102" s="850"/>
      <c r="D102" s="850"/>
      <c r="E102" s="850"/>
      <c r="F102" s="850"/>
    </row>
    <row r="103" spans="1:6" ht="15" customHeight="1" x14ac:dyDescent="0.2">
      <c r="A103" s="850"/>
      <c r="B103" s="850"/>
      <c r="C103" s="850"/>
      <c r="D103" s="850"/>
      <c r="E103" s="850"/>
      <c r="F103" s="850"/>
    </row>
    <row r="104" spans="1:6" ht="15" customHeight="1" x14ac:dyDescent="0.2">
      <c r="A104" s="5"/>
      <c r="B104" s="5"/>
      <c r="C104" s="5"/>
      <c r="D104" s="19"/>
      <c r="E104" s="19"/>
      <c r="F104" s="19"/>
    </row>
    <row r="105" spans="1:6" ht="15" customHeight="1" x14ac:dyDescent="0.2">
      <c r="A105" s="842" t="s">
        <v>98</v>
      </c>
      <c r="B105" s="842"/>
      <c r="C105" s="842"/>
      <c r="D105" s="842"/>
      <c r="E105" s="5"/>
      <c r="F105" s="5"/>
    </row>
    <row r="106" spans="1:6" ht="15" customHeight="1" thickBot="1" x14ac:dyDescent="0.25">
      <c r="A106" s="5"/>
      <c r="B106" s="5"/>
      <c r="C106" s="5"/>
      <c r="D106" s="19"/>
      <c r="E106" s="19"/>
      <c r="F106" s="19"/>
    </row>
    <row r="107" spans="1:6" ht="15" customHeight="1" thickBot="1" x14ac:dyDescent="0.25">
      <c r="A107" s="843" t="s">
        <v>97</v>
      </c>
      <c r="B107" s="844"/>
      <c r="C107" s="845"/>
      <c r="D107" s="5"/>
      <c r="E107" s="5"/>
      <c r="F107" s="5"/>
    </row>
    <row r="108" spans="1:6" ht="20.100000000000001" customHeight="1" thickBot="1" x14ac:dyDescent="0.25">
      <c r="A108" s="58" t="str">
        <f>'RT03-F12'!B54</f>
        <v>Cargas (g)</v>
      </c>
      <c r="B108" s="497" t="s">
        <v>369</v>
      </c>
      <c r="C108" s="858" t="s">
        <v>368</v>
      </c>
      <c r="D108" s="382"/>
      <c r="E108" s="5"/>
      <c r="F108" s="5"/>
    </row>
    <row r="109" spans="1:6" ht="20.100000000000001" customHeight="1" x14ac:dyDescent="0.2">
      <c r="A109" s="77" t="e">
        <f>'RT03-F12'!B55</f>
        <v>#N/A</v>
      </c>
      <c r="B109" s="498" t="e">
        <f>'RT03-F12'!K55</f>
        <v>#DIV/0!</v>
      </c>
      <c r="C109" s="859" t="e">
        <f>'RT03-F12'!F105</f>
        <v>#DIV/0!</v>
      </c>
      <c r="D109" s="382"/>
      <c r="E109" s="5"/>
      <c r="F109" s="5"/>
    </row>
    <row r="110" spans="1:6" ht="20.100000000000001" customHeight="1" x14ac:dyDescent="0.2">
      <c r="A110" s="76" t="e">
        <f>'RT03-F12'!B56</f>
        <v>#N/A</v>
      </c>
      <c r="B110" s="498" t="e">
        <f>'RT03-F12'!K56</f>
        <v>#DIV/0!</v>
      </c>
      <c r="C110" s="859" t="e">
        <f>'RT03-F12'!G105</f>
        <v>#DIV/0!</v>
      </c>
      <c r="D110" s="382"/>
      <c r="E110" s="5"/>
      <c r="F110" s="5"/>
    </row>
    <row r="111" spans="1:6" ht="20.100000000000001" customHeight="1" x14ac:dyDescent="0.2">
      <c r="A111" s="75" t="e">
        <f>'RT03-F12'!B57</f>
        <v>#N/A</v>
      </c>
      <c r="B111" s="498" t="e">
        <f>'RT03-F12'!K57</f>
        <v>#DIV/0!</v>
      </c>
      <c r="C111" s="859" t="e">
        <f>'RT03-F12'!H105</f>
        <v>#DIV/0!</v>
      </c>
      <c r="D111" s="382"/>
      <c r="E111" s="5"/>
      <c r="F111" s="5"/>
    </row>
    <row r="112" spans="1:6" ht="20.100000000000001" customHeight="1" x14ac:dyDescent="0.2">
      <c r="A112" s="76" t="e">
        <f>'RT03-F12'!B58</f>
        <v>#N/A</v>
      </c>
      <c r="B112" s="499" t="e">
        <f>'RT03-F12'!K58</f>
        <v>#DIV/0!</v>
      </c>
      <c r="C112" s="860" t="e">
        <f>'RT03-F12'!I105</f>
        <v>#DIV/0!</v>
      </c>
      <c r="D112" s="382"/>
      <c r="E112" s="5"/>
      <c r="F112" s="5"/>
    </row>
    <row r="113" spans="1:6" ht="20.100000000000001" customHeight="1" x14ac:dyDescent="0.2">
      <c r="A113" s="75" t="e">
        <f>'RT03-F12'!B59</f>
        <v>#N/A</v>
      </c>
      <c r="B113" s="499" t="e">
        <f>'RT03-F12'!K59</f>
        <v>#DIV/0!</v>
      </c>
      <c r="C113" s="860" t="e">
        <f>'RT03-F12'!J105</f>
        <v>#DIV/0!</v>
      </c>
      <c r="D113" s="382"/>
      <c r="E113" s="5"/>
      <c r="F113" s="5"/>
    </row>
    <row r="114" spans="1:6" ht="15" customHeight="1" x14ac:dyDescent="0.2">
      <c r="A114" s="22"/>
      <c r="B114" s="383"/>
      <c r="C114" s="383"/>
      <c r="D114" s="382"/>
      <c r="E114" s="5"/>
      <c r="F114" s="22"/>
    </row>
    <row r="115" spans="1:6" ht="3" customHeight="1" x14ac:dyDescent="0.2">
      <c r="B115" s="384"/>
      <c r="C115" s="384"/>
      <c r="D115" s="384"/>
    </row>
    <row r="116" spans="1:6" ht="3" customHeight="1" x14ac:dyDescent="0.2"/>
    <row r="117" spans="1:6" ht="16.5" customHeight="1" x14ac:dyDescent="0.2">
      <c r="A117" s="26"/>
      <c r="B117" s="18"/>
      <c r="C117" s="18"/>
      <c r="D117" s="12"/>
      <c r="E117" s="12"/>
      <c r="F117" s="12"/>
    </row>
    <row r="118" spans="1:6" ht="16.5" customHeight="1" x14ac:dyDescent="0.2">
      <c r="A118" s="26"/>
      <c r="B118" s="18"/>
      <c r="C118" s="18"/>
      <c r="D118" s="12"/>
      <c r="E118" s="12"/>
      <c r="F118" s="12"/>
    </row>
    <row r="119" spans="1:6" ht="16.5" customHeight="1" x14ac:dyDescent="0.2">
      <c r="A119" s="26"/>
      <c r="B119" s="18"/>
      <c r="C119" s="18"/>
      <c r="D119" s="12"/>
      <c r="E119" s="12"/>
      <c r="F119" s="12"/>
    </row>
    <row r="120" spans="1:6" ht="16.5" customHeight="1" x14ac:dyDescent="0.2">
      <c r="A120" s="26"/>
      <c r="B120" s="18"/>
      <c r="C120" s="18"/>
      <c r="D120" s="12"/>
      <c r="E120" s="12"/>
      <c r="F120" s="12"/>
    </row>
    <row r="121" spans="1:6" ht="15" customHeight="1" x14ac:dyDescent="0.2">
      <c r="A121" s="22"/>
      <c r="B121" s="18"/>
      <c r="C121" s="18"/>
      <c r="D121" s="5"/>
      <c r="E121" s="5"/>
      <c r="F121" s="5"/>
    </row>
    <row r="122" spans="1:6" ht="30" customHeight="1" x14ac:dyDescent="0.2">
      <c r="A122" s="22"/>
      <c r="B122" s="18"/>
      <c r="C122" s="18"/>
      <c r="D122" s="33"/>
      <c r="E122" s="33"/>
      <c r="F122" s="85" t="e">
        <f>F5</f>
        <v>#N/A</v>
      </c>
    </row>
    <row r="123" spans="1:6" ht="15" customHeight="1" x14ac:dyDescent="0.2">
      <c r="A123" s="22"/>
      <c r="B123" s="18"/>
      <c r="C123" s="18"/>
      <c r="D123" s="5"/>
      <c r="E123" s="5"/>
      <c r="F123" s="5"/>
    </row>
    <row r="124" spans="1:6" ht="15" customHeight="1" x14ac:dyDescent="0.2">
      <c r="A124" s="22"/>
      <c r="B124" s="18"/>
      <c r="C124" s="18"/>
      <c r="D124" s="5"/>
      <c r="E124" s="5"/>
      <c r="F124" s="5"/>
    </row>
    <row r="125" spans="1:6" ht="15" customHeight="1" x14ac:dyDescent="0.2">
      <c r="A125" s="12"/>
      <c r="B125" s="23"/>
      <c r="C125" s="12"/>
      <c r="D125" s="12"/>
      <c r="E125" s="12"/>
      <c r="F125" s="12"/>
    </row>
    <row r="126" spans="1:6" ht="15" customHeight="1" x14ac:dyDescent="0.2">
      <c r="A126" s="12"/>
      <c r="B126" s="12"/>
      <c r="C126" s="12"/>
      <c r="D126" s="12"/>
      <c r="E126" s="12"/>
      <c r="F126" s="12"/>
    </row>
    <row r="127" spans="1:6" ht="15" customHeight="1" x14ac:dyDescent="0.2">
      <c r="A127" s="12"/>
      <c r="B127" s="12"/>
      <c r="C127" s="12"/>
      <c r="D127" s="12"/>
      <c r="E127" s="12"/>
      <c r="F127" s="12"/>
    </row>
    <row r="128" spans="1:6" ht="15" customHeight="1" x14ac:dyDescent="0.2">
      <c r="A128" s="12"/>
      <c r="B128" s="12"/>
      <c r="C128" s="12"/>
      <c r="D128" s="12"/>
      <c r="E128" s="12"/>
      <c r="F128" s="12"/>
    </row>
    <row r="129" spans="1:6" ht="15" customHeight="1" x14ac:dyDescent="0.2">
      <c r="A129" s="12"/>
      <c r="B129" s="12"/>
      <c r="C129" s="12"/>
      <c r="D129" s="12"/>
      <c r="E129" s="12"/>
      <c r="F129" s="12"/>
    </row>
    <row r="130" spans="1:6" ht="15" customHeight="1" x14ac:dyDescent="0.2">
      <c r="A130" s="12"/>
      <c r="B130" s="12"/>
      <c r="C130" s="12"/>
      <c r="D130" s="12"/>
      <c r="E130" s="12"/>
      <c r="F130" s="12"/>
    </row>
    <row r="131" spans="1:6" ht="15" customHeight="1" x14ac:dyDescent="0.2">
      <c r="A131" s="12"/>
      <c r="B131" s="12"/>
      <c r="C131" s="12"/>
      <c r="D131" s="12"/>
      <c r="E131" s="12"/>
      <c r="F131" s="12"/>
    </row>
    <row r="132" spans="1:6" ht="15" customHeight="1" x14ac:dyDescent="0.2">
      <c r="A132" s="12"/>
      <c r="B132" s="12"/>
      <c r="C132" s="12"/>
      <c r="D132" s="12"/>
      <c r="E132" s="12"/>
      <c r="F132" s="12"/>
    </row>
    <row r="133" spans="1:6" ht="15" customHeight="1" x14ac:dyDescent="0.2">
      <c r="A133" s="12"/>
      <c r="B133" s="12"/>
      <c r="C133" s="12"/>
      <c r="D133" s="12"/>
      <c r="E133" s="12"/>
      <c r="F133" s="12"/>
    </row>
    <row r="134" spans="1:6" ht="15" customHeight="1" x14ac:dyDescent="0.2">
      <c r="A134" s="12"/>
      <c r="B134" s="12"/>
      <c r="C134" s="12"/>
      <c r="D134" s="12"/>
      <c r="E134" s="12"/>
      <c r="F134" s="12"/>
    </row>
    <row r="135" spans="1:6" ht="15" customHeight="1" x14ac:dyDescent="0.2">
      <c r="A135" s="12"/>
      <c r="B135" s="12"/>
      <c r="C135" s="12"/>
      <c r="D135" s="12"/>
      <c r="E135" s="12"/>
      <c r="F135" s="12"/>
    </row>
    <row r="136" spans="1:6" ht="15" customHeight="1" x14ac:dyDescent="0.2">
      <c r="A136" s="12"/>
      <c r="B136" s="12"/>
      <c r="C136" s="12"/>
      <c r="D136" s="12"/>
      <c r="E136" s="12"/>
      <c r="F136" s="12"/>
    </row>
    <row r="137" spans="1:6" ht="15" customHeight="1" x14ac:dyDescent="0.2">
      <c r="D137" s="5"/>
      <c r="E137" s="5"/>
      <c r="F137" s="5"/>
    </row>
    <row r="138" spans="1:6" ht="15" customHeight="1" x14ac:dyDescent="0.2">
      <c r="A138" s="5"/>
      <c r="B138" s="5"/>
      <c r="C138" s="5"/>
      <c r="D138" s="5"/>
      <c r="E138" s="5"/>
      <c r="F138" s="5"/>
    </row>
    <row r="139" spans="1:6" ht="15" customHeight="1" x14ac:dyDescent="0.2">
      <c r="A139" s="33"/>
      <c r="B139" s="33"/>
      <c r="C139" s="33"/>
      <c r="D139" s="33"/>
      <c r="E139" s="33"/>
      <c r="F139" s="33"/>
    </row>
    <row r="140" spans="1:6" ht="15" customHeight="1" x14ac:dyDescent="0.2">
      <c r="A140" s="33"/>
      <c r="B140" s="33"/>
      <c r="C140" s="33"/>
      <c r="D140" s="33"/>
      <c r="E140" s="33"/>
      <c r="F140" s="33"/>
    </row>
    <row r="141" spans="1:6" ht="15" customHeight="1" x14ac:dyDescent="0.2">
      <c r="A141" s="846" t="s">
        <v>419</v>
      </c>
      <c r="B141" s="846"/>
      <c r="C141" s="846"/>
      <c r="D141" s="846"/>
      <c r="E141" s="846"/>
      <c r="F141" s="846"/>
    </row>
    <row r="142" spans="1:6" ht="15" customHeight="1" x14ac:dyDescent="0.2">
      <c r="A142" s="846"/>
      <c r="B142" s="846"/>
      <c r="C142" s="846"/>
      <c r="D142" s="846"/>
      <c r="E142" s="846"/>
      <c r="F142" s="846"/>
    </row>
    <row r="143" spans="1:6" ht="12" customHeight="1" x14ac:dyDescent="0.2">
      <c r="A143" s="24"/>
      <c r="B143" s="24"/>
      <c r="C143" s="24"/>
      <c r="D143" s="24"/>
      <c r="E143" s="24"/>
      <c r="F143" s="24"/>
    </row>
    <row r="144" spans="1:6" ht="20.100000000000001" customHeight="1" x14ac:dyDescent="0.2">
      <c r="A144" s="838" t="s">
        <v>186</v>
      </c>
      <c r="B144" s="838"/>
      <c r="C144" s="838"/>
      <c r="D144" s="5"/>
      <c r="E144" s="5"/>
      <c r="F144" s="5"/>
    </row>
    <row r="145" spans="1:6" ht="12" customHeight="1" x14ac:dyDescent="0.2">
      <c r="A145" s="1"/>
      <c r="B145" s="1"/>
      <c r="C145" s="1"/>
      <c r="D145" s="33"/>
      <c r="E145" s="33"/>
      <c r="F145" s="33"/>
    </row>
    <row r="146" spans="1:6" ht="15" customHeight="1" x14ac:dyDescent="0.2">
      <c r="A146" s="826" t="s">
        <v>66</v>
      </c>
      <c r="B146" s="826"/>
      <c r="C146" s="826"/>
      <c r="D146" s="826"/>
      <c r="E146" s="826"/>
      <c r="F146" s="826"/>
    </row>
    <row r="147" spans="1:6" ht="15" customHeight="1" x14ac:dyDescent="0.2">
      <c r="A147" s="4"/>
      <c r="B147" s="4"/>
      <c r="C147" s="4"/>
      <c r="D147" s="4"/>
      <c r="E147" s="4"/>
      <c r="F147" s="4"/>
    </row>
    <row r="148" spans="1:6" ht="15" customHeight="1" x14ac:dyDescent="0.2">
      <c r="A148" s="16"/>
      <c r="B148" s="8" t="str">
        <f>'RT03-F12'!$E$136</f>
        <v>E (R)  (mg) =</v>
      </c>
      <c r="C148" s="38" t="e">
        <f>'RT03-F12'!F136</f>
        <v>#DIV/0!</v>
      </c>
      <c r="D148" s="8" t="s">
        <v>72</v>
      </c>
      <c r="E148" s="16"/>
      <c r="F148" s="16"/>
    </row>
    <row r="149" spans="1:6" ht="15" customHeight="1" x14ac:dyDescent="0.2">
      <c r="A149" s="26"/>
      <c r="E149" s="12"/>
      <c r="F149" s="12"/>
    </row>
    <row r="150" spans="1:6" ht="20.100000000000001" customHeight="1" x14ac:dyDescent="0.2">
      <c r="A150" s="811" t="s">
        <v>146</v>
      </c>
      <c r="B150" s="811"/>
      <c r="C150" s="811"/>
      <c r="D150" s="27" t="s">
        <v>128</v>
      </c>
      <c r="E150" s="60" t="e">
        <f>'RT03-F12'!G119</f>
        <v>#DIV/0!</v>
      </c>
      <c r="F150" s="29" t="s">
        <v>129</v>
      </c>
    </row>
    <row r="151" spans="1:6" ht="15" customHeight="1" x14ac:dyDescent="0.2">
      <c r="A151" s="36"/>
      <c r="B151" s="36"/>
      <c r="C151" s="36"/>
      <c r="D151" s="27"/>
      <c r="E151" s="28"/>
      <c r="F151" s="29"/>
    </row>
    <row r="152" spans="1:6" ht="15" customHeight="1" x14ac:dyDescent="0.2">
      <c r="A152" s="861" t="s">
        <v>368</v>
      </c>
      <c r="B152" s="500" t="e">
        <f>'RT03-F12'!F139</f>
        <v>#N/A</v>
      </c>
      <c r="C152" s="501" t="str">
        <f>[4]RESULTADOS!I23</f>
        <v xml:space="preserve">                + </v>
      </c>
      <c r="D152" s="18" t="str">
        <f>D148</f>
        <v>R (g)</v>
      </c>
      <c r="E152" s="30" t="e">
        <f>'RT03-F12'!H138</f>
        <v>#N/A</v>
      </c>
    </row>
    <row r="153" spans="1:6" ht="15" customHeight="1" x14ac:dyDescent="0.2">
      <c r="A153" s="12"/>
      <c r="B153" s="22"/>
      <c r="C153" s="25"/>
      <c r="D153" s="12"/>
      <c r="E153" s="30"/>
    </row>
    <row r="154" spans="1:6" ht="15" customHeight="1" x14ac:dyDescent="0.2">
      <c r="A154" s="12"/>
      <c r="B154" s="22"/>
      <c r="C154" s="25"/>
      <c r="D154" s="12"/>
      <c r="E154" s="30"/>
    </row>
    <row r="155" spans="1:6" ht="15" customHeight="1" x14ac:dyDescent="0.2">
      <c r="A155" s="828" t="s">
        <v>99</v>
      </c>
      <c r="B155" s="828"/>
      <c r="C155" s="828"/>
      <c r="D155" s="828"/>
      <c r="E155" s="828"/>
      <c r="F155" s="828"/>
    </row>
    <row r="156" spans="1:6" ht="15" customHeight="1" x14ac:dyDescent="0.2">
      <c r="A156" s="828"/>
      <c r="B156" s="828"/>
      <c r="C156" s="828"/>
      <c r="D156" s="828"/>
      <c r="E156" s="828"/>
      <c r="F156" s="828"/>
    </row>
    <row r="157" spans="1:6" ht="15" customHeight="1" x14ac:dyDescent="0.2">
      <c r="A157" s="25"/>
      <c r="B157" s="25"/>
      <c r="C157" s="25"/>
      <c r="D157" s="25"/>
      <c r="E157" s="25"/>
      <c r="F157" s="25"/>
    </row>
    <row r="158" spans="1:6" ht="15" customHeight="1" x14ac:dyDescent="0.2">
      <c r="A158" s="24"/>
      <c r="B158" s="24"/>
      <c r="C158" s="24"/>
      <c r="D158" s="24"/>
      <c r="E158" s="24"/>
      <c r="F158" s="24"/>
    </row>
    <row r="159" spans="1:6" ht="15" customHeight="1" x14ac:dyDescent="0.2">
      <c r="A159" s="31"/>
      <c r="B159" s="31"/>
      <c r="C159" s="31"/>
      <c r="D159" s="31"/>
      <c r="E159" s="31"/>
      <c r="F159" s="31"/>
    </row>
    <row r="160" spans="1:6" ht="15" customHeight="1" x14ac:dyDescent="0.2">
      <c r="A160" s="31"/>
      <c r="B160" s="31"/>
      <c r="C160" s="31"/>
      <c r="D160" s="31"/>
      <c r="E160" s="31"/>
      <c r="F160" s="31"/>
    </row>
    <row r="161" spans="1:6" ht="30" customHeight="1" thickBot="1" x14ac:dyDescent="0.25">
      <c r="A161" s="31"/>
      <c r="B161" s="31"/>
      <c r="C161" s="31"/>
      <c r="D161" s="31"/>
      <c r="E161" s="31"/>
      <c r="F161" s="86" t="e">
        <f>F5</f>
        <v>#N/A</v>
      </c>
    </row>
    <row r="162" spans="1:6" ht="15" customHeight="1" thickBot="1" x14ac:dyDescent="0.25">
      <c r="A162" s="69" t="s">
        <v>100</v>
      </c>
      <c r="B162" s="857" t="s">
        <v>101</v>
      </c>
      <c r="C162" s="806"/>
      <c r="D162" s="806"/>
      <c r="E162" s="23"/>
      <c r="F162" s="11"/>
    </row>
    <row r="163" spans="1:6" ht="15" customHeight="1" thickBot="1" x14ac:dyDescent="0.25">
      <c r="A163" s="70" t="s">
        <v>102</v>
      </c>
      <c r="B163" s="857" t="s">
        <v>103</v>
      </c>
      <c r="C163" s="806"/>
      <c r="D163" s="806"/>
      <c r="E163" s="11"/>
      <c r="F163" s="24"/>
    </row>
    <row r="164" spans="1:6" ht="15" customHeight="1" thickBot="1" x14ac:dyDescent="0.25">
      <c r="A164" s="69" t="s">
        <v>104</v>
      </c>
      <c r="B164" s="857" t="s">
        <v>105</v>
      </c>
      <c r="C164" s="806"/>
      <c r="D164" s="806"/>
      <c r="E164" s="11"/>
      <c r="F164" s="11"/>
    </row>
    <row r="165" spans="1:6" ht="12" customHeight="1" x14ac:dyDescent="0.2">
      <c r="E165" s="11"/>
      <c r="F165" s="11"/>
    </row>
    <row r="166" spans="1:6" ht="20.100000000000001" customHeight="1" x14ac:dyDescent="0.2">
      <c r="A166" s="813" t="s">
        <v>184</v>
      </c>
      <c r="B166" s="813"/>
      <c r="C166" s="813"/>
      <c r="F166" s="11"/>
    </row>
    <row r="167" spans="1:6" ht="12" customHeight="1" x14ac:dyDescent="0.2">
      <c r="D167" s="5"/>
      <c r="E167" s="5"/>
      <c r="F167" s="5"/>
    </row>
    <row r="168" spans="1:6" ht="15" customHeight="1" x14ac:dyDescent="0.2">
      <c r="A168" s="822" t="s">
        <v>157</v>
      </c>
      <c r="B168" s="822"/>
      <c r="C168" s="822"/>
      <c r="D168" s="822"/>
      <c r="E168" s="822"/>
      <c r="F168" s="822"/>
    </row>
    <row r="169" spans="1:6" ht="15" customHeight="1" x14ac:dyDescent="0.2">
      <c r="A169" s="822"/>
      <c r="B169" s="822"/>
      <c r="C169" s="822"/>
      <c r="D169" s="822"/>
      <c r="E169" s="822"/>
      <c r="F169" s="822"/>
    </row>
    <row r="170" spans="1:6" ht="15" customHeight="1" x14ac:dyDescent="0.2">
      <c r="A170" s="822"/>
      <c r="B170" s="822"/>
      <c r="C170" s="822"/>
      <c r="D170" s="822"/>
      <c r="E170" s="822"/>
      <c r="F170" s="822"/>
    </row>
    <row r="171" spans="1:6" ht="15" customHeight="1" x14ac:dyDescent="0.2">
      <c r="A171" s="32"/>
      <c r="B171" s="32"/>
      <c r="C171" s="32"/>
      <c r="D171" s="32"/>
      <c r="E171" s="32"/>
      <c r="F171" s="32"/>
    </row>
    <row r="172" spans="1:6" ht="20.100000000000001" customHeight="1" x14ac:dyDescent="0.2">
      <c r="A172" s="811" t="s">
        <v>147</v>
      </c>
      <c r="B172" s="811"/>
      <c r="C172" s="811"/>
      <c r="D172" s="32"/>
      <c r="E172" s="32"/>
      <c r="F172" s="32"/>
    </row>
    <row r="173" spans="1:6" ht="15" customHeight="1" x14ac:dyDescent="0.2">
      <c r="D173" s="24"/>
      <c r="E173" s="24"/>
      <c r="F173" s="24"/>
    </row>
    <row r="174" spans="1:6" ht="15" customHeight="1" x14ac:dyDescent="0.2">
      <c r="A174" s="828" t="s">
        <v>160</v>
      </c>
      <c r="B174" s="828"/>
      <c r="C174" s="828"/>
      <c r="D174" s="828"/>
      <c r="E174" s="828"/>
      <c r="F174" s="828"/>
    </row>
    <row r="175" spans="1:6" ht="15" customHeight="1" x14ac:dyDescent="0.2">
      <c r="A175" s="828" t="s">
        <v>161</v>
      </c>
      <c r="B175" s="828"/>
      <c r="C175" s="828"/>
      <c r="D175" s="828"/>
      <c r="E175" s="828"/>
      <c r="F175" s="828"/>
    </row>
    <row r="176" spans="1:6" ht="30" customHeight="1" x14ac:dyDescent="0.2">
      <c r="A176" s="825" t="s">
        <v>418</v>
      </c>
      <c r="B176" s="825"/>
      <c r="C176" s="825"/>
      <c r="D176" s="825"/>
      <c r="E176" s="825"/>
      <c r="F176" s="825"/>
    </row>
    <row r="177" spans="1:6" ht="15" customHeight="1" x14ac:dyDescent="0.2">
      <c r="A177" s="828" t="s">
        <v>162</v>
      </c>
      <c r="B177" s="828"/>
      <c r="C177" s="828"/>
      <c r="D177" s="828"/>
      <c r="E177" s="828"/>
      <c r="F177" s="828"/>
    </row>
    <row r="178" spans="1:6" ht="15" customHeight="1" x14ac:dyDescent="0.2">
      <c r="A178" s="828" t="s">
        <v>163</v>
      </c>
      <c r="B178" s="828"/>
      <c r="C178" s="828"/>
      <c r="D178" s="828"/>
      <c r="E178" s="828"/>
      <c r="F178" s="828"/>
    </row>
    <row r="179" spans="1:6" ht="20.100000000000001" customHeight="1" x14ac:dyDescent="0.2">
      <c r="A179" s="821" t="s">
        <v>148</v>
      </c>
      <c r="B179" s="821"/>
      <c r="C179" s="821"/>
      <c r="D179" s="5"/>
      <c r="E179" s="5"/>
      <c r="F179" s="5"/>
    </row>
    <row r="180" spans="1:6" ht="15" customHeight="1" thickBot="1" x14ac:dyDescent="0.25">
      <c r="B180" s="5"/>
      <c r="C180" s="5"/>
      <c r="D180" s="5"/>
      <c r="E180" s="5"/>
      <c r="F180" s="5"/>
    </row>
    <row r="181" spans="1:6" ht="27" customHeight="1" thickBot="1" x14ac:dyDescent="0.25">
      <c r="B181" s="83" t="s">
        <v>18</v>
      </c>
      <c r="C181" s="84" t="s">
        <v>185</v>
      </c>
      <c r="D181" s="862" t="s">
        <v>420</v>
      </c>
      <c r="E181" s="12"/>
      <c r="F181" s="5"/>
    </row>
    <row r="182" spans="1:6" ht="15" customHeight="1" x14ac:dyDescent="0.2">
      <c r="B182" s="81" t="e">
        <f>'RT03-F12'!B55</f>
        <v>#N/A</v>
      </c>
      <c r="C182" s="82">
        <f>'RT03-F12'!C55</f>
        <v>0</v>
      </c>
      <c r="D182" s="863" t="e">
        <f>'RT03-F12'!D55</f>
        <v>#N/A</v>
      </c>
      <c r="E182" s="5"/>
      <c r="F182" s="5"/>
    </row>
    <row r="183" spans="1:6" ht="15" customHeight="1" x14ac:dyDescent="0.2">
      <c r="B183" s="59" t="e">
        <f>'RT03-F12'!B56</f>
        <v>#N/A</v>
      </c>
      <c r="C183" s="74">
        <f>'RT03-F12'!C56</f>
        <v>0</v>
      </c>
      <c r="D183" s="863" t="e">
        <f>'RT03-F12'!D56</f>
        <v>#N/A</v>
      </c>
      <c r="E183" s="5"/>
      <c r="F183" s="5"/>
    </row>
    <row r="184" spans="1:6" ht="15" customHeight="1" x14ac:dyDescent="0.2">
      <c r="B184" s="59" t="e">
        <f>'RT03-F12'!B57</f>
        <v>#N/A</v>
      </c>
      <c r="C184" s="74">
        <f>'RT03-F12'!C57</f>
        <v>0</v>
      </c>
      <c r="D184" s="863" t="e">
        <f>'RT03-F12'!D57</f>
        <v>#N/A</v>
      </c>
      <c r="E184" s="5"/>
      <c r="F184" s="5"/>
    </row>
    <row r="185" spans="1:6" ht="15" customHeight="1" x14ac:dyDescent="0.2">
      <c r="B185" s="59" t="e">
        <f>'RT03-F12'!B58</f>
        <v>#N/A</v>
      </c>
      <c r="C185" s="74">
        <f>'RT03-F12'!C58</f>
        <v>0</v>
      </c>
      <c r="D185" s="864" t="e">
        <f>'RT03-F12'!D58</f>
        <v>#N/A</v>
      </c>
      <c r="E185" s="5"/>
      <c r="F185" s="5"/>
    </row>
    <row r="186" spans="1:6" ht="15" customHeight="1" x14ac:dyDescent="0.2">
      <c r="B186" s="59" t="e">
        <f>'RT03-F12'!B59</f>
        <v>#N/A</v>
      </c>
      <c r="C186" s="74">
        <f>'RT03-F12'!C59</f>
        <v>0</v>
      </c>
      <c r="D186" s="864" t="e">
        <f>'RT03-F12'!D59</f>
        <v>#N/A</v>
      </c>
      <c r="E186" s="5"/>
      <c r="F186" s="5"/>
    </row>
    <row r="187" spans="1:6" ht="15" customHeight="1" x14ac:dyDescent="0.2">
      <c r="B187" s="61"/>
      <c r="C187" s="62"/>
      <c r="D187" s="63"/>
      <c r="E187" s="33"/>
      <c r="F187" s="33"/>
    </row>
    <row r="188" spans="1:6" ht="15" customHeight="1" x14ac:dyDescent="0.2">
      <c r="A188" s="824"/>
      <c r="B188" s="824"/>
      <c r="C188" s="5"/>
      <c r="D188" s="5"/>
      <c r="E188" s="5"/>
      <c r="F188" s="5"/>
    </row>
    <row r="189" spans="1:6" ht="15" customHeight="1" x14ac:dyDescent="0.2">
      <c r="A189" s="64"/>
      <c r="B189" s="64"/>
      <c r="C189" s="65"/>
      <c r="D189" s="33"/>
      <c r="E189" s="33"/>
      <c r="F189" s="33"/>
    </row>
    <row r="190" spans="1:6" ht="20.100000000000001" customHeight="1" x14ac:dyDescent="0.2">
      <c r="A190" s="831" t="s">
        <v>355</v>
      </c>
      <c r="B190" s="831"/>
      <c r="C190" s="266"/>
    </row>
    <row r="191" spans="1:6" ht="15" customHeight="1" x14ac:dyDescent="0.2">
      <c r="B191" s="13"/>
      <c r="C191" s="3"/>
    </row>
    <row r="192" spans="1:6" ht="15" customHeight="1" x14ac:dyDescent="0.2">
      <c r="A192" s="830" t="s">
        <v>106</v>
      </c>
      <c r="B192" s="830"/>
      <c r="C192" s="830"/>
      <c r="D192" s="830" t="s">
        <v>151</v>
      </c>
      <c r="E192" s="830"/>
      <c r="F192" s="830"/>
    </row>
    <row r="193" spans="1:6" ht="15" customHeight="1" x14ac:dyDescent="0.2">
      <c r="A193" s="829" t="s">
        <v>153</v>
      </c>
      <c r="B193" s="829"/>
      <c r="C193" s="80"/>
      <c r="D193" s="827" t="s">
        <v>149</v>
      </c>
      <c r="E193" s="827"/>
      <c r="F193" s="80"/>
    </row>
    <row r="194" spans="1:6" ht="20.25" customHeight="1" x14ac:dyDescent="0.2">
      <c r="A194" s="823" t="e">
        <f>VLOOKUP($C$193,DATOS!$D$158:$H$162,4,FALSE)</f>
        <v>#N/A</v>
      </c>
      <c r="B194" s="823"/>
      <c r="C194" s="823"/>
      <c r="D194" s="823" t="e">
        <f>VLOOKUP($F$193,DATOS!$D$158:$H$162,4,FALSE)</f>
        <v>#N/A</v>
      </c>
      <c r="E194" s="823"/>
      <c r="F194" s="823"/>
    </row>
    <row r="195" spans="1:6" ht="15" customHeight="1" x14ac:dyDescent="0.2">
      <c r="A195" s="823" t="e">
        <f>VLOOKUP($C$193,DATOS!$D$158:$H$162,2,FALSE)</f>
        <v>#N/A</v>
      </c>
      <c r="B195" s="823"/>
      <c r="C195" s="823"/>
      <c r="D195" s="823" t="e">
        <f>VLOOKUP($F$193,DATOS!$D$158:$H$162,2,FALSE)</f>
        <v>#N/A</v>
      </c>
      <c r="E195" s="823"/>
      <c r="F195" s="823"/>
    </row>
    <row r="197" spans="1:6" s="39" customFormat="1" ht="9.9499999999999993" customHeight="1" x14ac:dyDescent="0.25">
      <c r="B197" s="820" t="s">
        <v>158</v>
      </c>
      <c r="C197" s="820"/>
      <c r="D197" s="820"/>
      <c r="E197" s="820"/>
    </row>
    <row r="198" spans="1:6" ht="15" customHeight="1" x14ac:dyDescent="0.2">
      <c r="B198" s="35"/>
      <c r="C198" s="35"/>
      <c r="D198" s="35"/>
      <c r="E198" s="35"/>
    </row>
  </sheetData>
  <sheetProtection algorithmName="SHA-512" hashValue="X8UUzCPJ18NDLw3St1d/qil0gLTNf56G8RxG5Wt5IzH1Njc95jTvvRVf8xOooHViCTsrNXCpLzIkcknMEbXIgg==" saltValue="/eDWfG0PiqmLm4zE6yES+Q==" spinCount="100000" sheet="1" objects="1" scenarios="1"/>
  <mergeCells count="83">
    <mergeCell ref="A64:B64"/>
    <mergeCell ref="A62:B62"/>
    <mergeCell ref="A63:B63"/>
    <mergeCell ref="B164:D164"/>
    <mergeCell ref="B163:D163"/>
    <mergeCell ref="A150:C150"/>
    <mergeCell ref="A80:F82"/>
    <mergeCell ref="A155:F156"/>
    <mergeCell ref="B162:D162"/>
    <mergeCell ref="C8:D8"/>
    <mergeCell ref="E9:F15"/>
    <mergeCell ref="A144:C144"/>
    <mergeCell ref="A60:D60"/>
    <mergeCell ref="A66:D66"/>
    <mergeCell ref="A86:D86"/>
    <mergeCell ref="A84:B84"/>
    <mergeCell ref="A107:C107"/>
    <mergeCell ref="A105:D105"/>
    <mergeCell ref="A141:F142"/>
    <mergeCell ref="A70:C70"/>
    <mergeCell ref="A68:B68"/>
    <mergeCell ref="A100:F103"/>
    <mergeCell ref="A26:B26"/>
    <mergeCell ref="A23:B23"/>
    <mergeCell ref="A24:B24"/>
    <mergeCell ref="D195:F195"/>
    <mergeCell ref="D194:F194"/>
    <mergeCell ref="A194:C194"/>
    <mergeCell ref="A172:C172"/>
    <mergeCell ref="A175:F175"/>
    <mergeCell ref="A174:F174"/>
    <mergeCell ref="A177:F177"/>
    <mergeCell ref="A193:B193"/>
    <mergeCell ref="D192:F192"/>
    <mergeCell ref="A192:C192"/>
    <mergeCell ref="A190:B190"/>
    <mergeCell ref="A178:F178"/>
    <mergeCell ref="A19:C19"/>
    <mergeCell ref="A21:B21"/>
    <mergeCell ref="A22:B22"/>
    <mergeCell ref="B197:E197"/>
    <mergeCell ref="A179:C179"/>
    <mergeCell ref="A32:F32"/>
    <mergeCell ref="C45:F46"/>
    <mergeCell ref="A52:B52"/>
    <mergeCell ref="A50:B50"/>
    <mergeCell ref="A168:F170"/>
    <mergeCell ref="A195:C195"/>
    <mergeCell ref="A188:B188"/>
    <mergeCell ref="A176:F176"/>
    <mergeCell ref="A146:F146"/>
    <mergeCell ref="A166:C166"/>
    <mergeCell ref="D193:E193"/>
    <mergeCell ref="A30:C30"/>
    <mergeCell ref="A58:F58"/>
    <mergeCell ref="A34:D34"/>
    <mergeCell ref="A36:F39"/>
    <mergeCell ref="A28:F28"/>
    <mergeCell ref="A49:C49"/>
    <mergeCell ref="D49:F49"/>
    <mergeCell ref="C50:D50"/>
    <mergeCell ref="A41:B42"/>
    <mergeCell ref="C41:F42"/>
    <mergeCell ref="A43:B44"/>
    <mergeCell ref="C43:F44"/>
    <mergeCell ref="A45:B46"/>
    <mergeCell ref="A54:C54"/>
    <mergeCell ref="A5:C5"/>
    <mergeCell ref="A7:B7"/>
    <mergeCell ref="C11:D11"/>
    <mergeCell ref="D17:E17"/>
    <mergeCell ref="C9:D9"/>
    <mergeCell ref="C13:D13"/>
    <mergeCell ref="C7:F7"/>
    <mergeCell ref="A8:B8"/>
    <mergeCell ref="A9:B9"/>
    <mergeCell ref="A10:B10"/>
    <mergeCell ref="A11:B11"/>
    <mergeCell ref="A12:B12"/>
    <mergeCell ref="A13:B13"/>
    <mergeCell ref="A14:B14"/>
    <mergeCell ref="A17:B17"/>
    <mergeCell ref="C12:D12"/>
  </mergeCells>
  <pageMargins left="0.70866141732283472" right="0.70866141732283472" top="0.74803149606299213" bottom="0.74803149606299213" header="0.31496062992125984" footer="0.31496062992125984"/>
  <pageSetup scale="99" orientation="portrait" horizontalDpi="4294967293" r:id="rId1"/>
  <headerFooter>
    <oddHeader xml:space="preserve">&amp;C &amp;"-,Negrita"&amp;12  
                &amp;16 &amp;12 &amp;"Arial Narrow,Negrita"&amp;14CERTIFICADO DE CALIBRACIÓN 
             DE  BALANZAS&amp;R&amp;"-,Negrita"&amp;12
             </oddHeader>
    <oddFooter>&amp;R&amp;8  
RT03-F15  Vr.3(2018-05-23)
&amp;P de &amp;N</oddFooter>
  </headerFooter>
  <rowBreaks count="4" manualBreakCount="4">
    <brk id="47" max="5" man="1"/>
    <brk id="83" min="1" max="5" man="1"/>
    <brk id="120" min="1" max="5" man="1"/>
    <brk id="160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DATOS!$D$158:$D$162</xm:f>
          </x14:formula1>
          <xm:sqref>F193</xm:sqref>
        </x14:dataValidation>
        <x14:dataValidation type="list" allowBlank="1" showInputMessage="1" showErrorMessage="1">
          <x14:formula1>
            <xm:f>DATOS!$D$158:$D$160</xm:f>
          </x14:formula1>
          <xm:sqref>C193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DATOS</vt:lpstr>
      <vt:lpstr>RT03-F12</vt:lpstr>
      <vt:lpstr>RT03-F15</vt:lpstr>
      <vt:lpstr>DATOS!Área_de_impresión</vt:lpstr>
      <vt:lpstr>'RT03-F12'!Área_de_impresión</vt:lpstr>
      <vt:lpstr>'RT03-F15'!Área_de_impresión</vt:lpstr>
      <vt:lpstr>'RT03-F12'!Títulos_a_imprimir</vt:lpstr>
      <vt:lpstr>'RT03-F15'!Títulos_a_imprimir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Aguirre Romero</dc:creator>
  <cp:lastModifiedBy>Yenny Astrid Hernández Gómez</cp:lastModifiedBy>
  <cp:lastPrinted>2018-05-23T16:22:22Z</cp:lastPrinted>
  <dcterms:created xsi:type="dcterms:W3CDTF">2016-06-28T20:23:39Z</dcterms:created>
  <dcterms:modified xsi:type="dcterms:W3CDTF">2018-05-23T16:23:06Z</dcterms:modified>
</cp:coreProperties>
</file>